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S:\Corporate Affairs\2. Corp Gov\1. Key Docs\Annual Report\Annual Report 2425\"/>
    </mc:Choice>
  </mc:AlternateContent>
  <xr:revisionPtr revIDLastSave="0" documentId="13_ncr:1_{1058F65F-A32E-4E90-AC2C-D90AE4FCD261}" xr6:coauthVersionLast="47" xr6:coauthVersionMax="47" xr10:uidLastSave="{00000000-0000-0000-0000-000000000000}"/>
  <bookViews>
    <workbookView xWindow="28680" yWindow="-120" windowWidth="29040" windowHeight="15720" firstSheet="10" activeTab="14" xr2:uid="{751FB0D1-43B8-48A8-95D6-626754EC0489}"/>
  </bookViews>
  <sheets>
    <sheet name="Guidance" sheetId="63" state="hidden" r:id="rId1"/>
    <sheet name="Settings" sheetId="1" state="hidden" r:id="rId2"/>
    <sheet name="Change log" sheetId="99" state="hidden" r:id="rId3"/>
    <sheet name="Title" sheetId="4" r:id="rId4"/>
    <sheet name="SOCI" sheetId="6" r:id="rId5"/>
    <sheet name="SoFP" sheetId="7" r:id="rId6"/>
    <sheet name="SoCIE" sheetId="77" r:id="rId7"/>
    <sheet name="CF" sheetId="10" r:id="rId8"/>
    <sheet name="Acc'g policies 1" sheetId="5" r:id="rId9"/>
    <sheet name="Acc'g policies 2" sheetId="85" r:id="rId10"/>
    <sheet name="Acc'g policies 3" sheetId="67" r:id="rId11"/>
    <sheet name="Acc P3+1" sheetId="100" r:id="rId12"/>
    <sheet name="Acc'g policies 4" sheetId="68" state="hidden" r:id="rId13"/>
    <sheet name="Acc'g policies 5" sheetId="69" r:id="rId14"/>
    <sheet name="Acc'g policies 6" sheetId="70" r:id="rId15"/>
    <sheet name="Acc'g policies 7" sheetId="89" r:id="rId16"/>
    <sheet name="Acc Pol 8" sheetId="101" r:id="rId17"/>
    <sheet name="Acc'g policies 9" sheetId="88" r:id="rId18"/>
    <sheet name="3-4 Op Inc" sheetId="12" r:id="rId19"/>
    <sheet name="5-6 Op Exp" sheetId="81" r:id="rId20"/>
    <sheet name="7-8 Impair&amp;Pay" sheetId="23" r:id="rId21"/>
    <sheet name="9-12 Pens&amp; FinIE" sheetId="61" r:id="rId22"/>
    <sheet name="13 Ints" sheetId="78" r:id="rId23"/>
    <sheet name="14 PPE1" sheetId="79" r:id="rId24"/>
    <sheet name="14 PPE 2" sheetId="80" r:id="rId25"/>
    <sheet name="15 RoU assets" sheetId="92" r:id="rId26"/>
    <sheet name="15-16 Leeses&amp;IP" sheetId="94" r:id="rId27"/>
    <sheet name="17-20 Ints&amp;InvCr" sheetId="35" r:id="rId28"/>
    <sheet name="21-23 AHFS&amp;Cr" sheetId="39" r:id="rId29"/>
    <sheet name="24-25 Crs&amp;FAL" sheetId="43" r:id="rId30"/>
    <sheet name="26-30 Provisions" sheetId="45" r:id="rId31"/>
    <sheet name="30 FI" sheetId="49" r:id="rId32"/>
    <sheet name="31-32 L&amp;SP, gifts" sheetId="50" r:id="rId33"/>
    <sheet name="32-35 RP,CRL&amp;BE" sheetId="46" r:id="rId34"/>
    <sheet name="36 CRL and breakeven duty" sheetId="75" r:id="rId35"/>
    <sheet name="Staff report tables" sheetId="66" state="hidden" r:id="rId36"/>
    <sheet name="Foreword (FTs only)" sheetId="2" state="hidden" r:id="rId37"/>
    <sheet name="SoCIE reserves" sheetId="59" state="hidden" r:id="rId38"/>
    <sheet name="Pension" sheetId="64" state="hidden" r:id="rId39"/>
    <sheet name="breakeven duty 2" sheetId="76" state="hidden" r:id="rId40"/>
    <sheet name="Inv Prop" sheetId="93" state="hidden" r:id="rId41"/>
    <sheet name="FI3" sheetId="87" state="hidden" r:id="rId42"/>
    <sheet name="OL &amp; Borrowings" sheetId="44" state="hidden" r:id="rId43"/>
    <sheet name="C&amp;O" sheetId="58" state="hidden" r:id="rId44"/>
    <sheet name="FI1" sheetId="62" state="hidden" r:id="rId45"/>
    <sheet name="Borrowings" sheetId="83" state="hidden" r:id="rId46"/>
    <sheet name="Pension 2" sheetId="18" state="hidden" r:id="rId47"/>
    <sheet name="Finance leases" sheetId="47" state="hidden" r:id="rId48"/>
    <sheet name="CCE" sheetId="42" state="hidden" r:id="rId49"/>
    <sheet name="PFI LIFT Other" sheetId="48" state="hidden" r:id="rId50"/>
    <sheet name="Inv in assoc &amp; JVs, other inv" sheetId="73" state="hidden" r:id="rId51"/>
    <sheet name="Receivables 2" sheetId="37" state="hidden" r:id="rId52"/>
    <sheet name="Receivables" sheetId="36" state="hidden" r:id="rId53"/>
    <sheet name="Acc'g policies 8" sheetId="71" state="hidden" r:id="rId54"/>
    <sheet name="PPE 3, Lessee" sheetId="60" state="hidden" r:id="rId55"/>
    <sheet name="Operating Segments" sheetId="11" state="hidden" r:id="rId56"/>
    <sheet name="Op leases" sheetId="56" state="hidden" r:id="rId57"/>
    <sheet name="Op Inc 2" sheetId="86" state="hidden" r:id="rId58"/>
    <sheet name="Op Exp" sheetId="14" state="hidden" r:id="rId59"/>
    <sheet name="Staff" sheetId="15" state="hidden" r:id="rId60"/>
    <sheet name="Finance &amp; other" sheetId="21" state="hidden" r:id="rId61"/>
    <sheet name="Discontinued" sheetId="25" state="hidden" r:id="rId62"/>
  </sheets>
  <definedNames>
    <definedName name="_xlnm._FilterDatabase" localSheetId="7" hidden="1">CF!$A$1:$O$1</definedName>
    <definedName name="_xlnm._FilterDatabase" localSheetId="1" hidden="1">Settings!$A$33:$D$247</definedName>
    <definedName name="ApprovalDate" comment="Date of approval of financial statements">Settings!$C$24</definedName>
    <definedName name="ComparativeFY">Settings!$C$16</definedName>
    <definedName name="comparativestartyear">Settings!$C$20</definedName>
    <definedName name="ComparativeYear">Settings!$C$19</definedName>
    <definedName name="ComparativeYearEnd">Settings!$C$12</definedName>
    <definedName name="ComparativeYearStart">Settings!$C$13</definedName>
    <definedName name="CurrentFY">Settings!$C$15</definedName>
    <definedName name="CurrentYear">Settings!$C$18</definedName>
    <definedName name="CurrentYearEnd">Settings!$C$10</definedName>
    <definedName name="CurrentYearStart">Settings!$C$11</definedName>
    <definedName name="NextFY">Settings!$C$22</definedName>
    <definedName name="_xlnm.Print_Area" localSheetId="22">'13 Ints'!$B$2:$E$59</definedName>
    <definedName name="_xlnm.Print_Area" localSheetId="24">'14 PPE 2'!$B$1:$K$63</definedName>
    <definedName name="_xlnm.Print_Area" localSheetId="23">'14 PPE1'!$B$1:$J$67</definedName>
    <definedName name="_xlnm.Print_Area" localSheetId="25">'15 RoU assets'!$A$1:$K$69</definedName>
    <definedName name="_xlnm.Print_Area" localSheetId="26">'15-16 Leeses&amp;IP'!$B$1:$I$80</definedName>
    <definedName name="_xlnm.Print_Area" localSheetId="27">'17-20 Ints&amp;InvCr'!$B$5:$E$97</definedName>
    <definedName name="_xlnm.Print_Area" localSheetId="28">'21-23 AHFS&amp;Cr'!$B$1:$E$91</definedName>
    <definedName name="_xlnm.Print_Area" localSheetId="29">'24-25 Crs&amp;FAL'!$B$42:$I$114</definedName>
    <definedName name="_xlnm.Print_Area" localSheetId="30">'26-30 Provisions'!$B$1:$J$77</definedName>
    <definedName name="_xlnm.Print_Area" localSheetId="31">'30 FI'!$B$1:$E$84</definedName>
    <definedName name="_xlnm.Print_Area" localSheetId="32">'31-32 L&amp;SP, gifts'!$B$1:$G$71</definedName>
    <definedName name="_xlnm.Print_Area" localSheetId="33">'32-35 RP,CRL&amp;BE'!$B$1:$I$124</definedName>
    <definedName name="_xlnm.Print_Area" localSheetId="18">'3-4 Op Inc'!$B$1:$I$87</definedName>
    <definedName name="_xlnm.Print_Area" localSheetId="34">'36 CRL and breakeven duty'!$B$1:$K$56</definedName>
    <definedName name="_xlnm.Print_Area" localSheetId="21">'9-12 Pens&amp; FinIE'!$A$1:$J$73</definedName>
    <definedName name="_xlnm.Print_Area" localSheetId="11">'Acc P3+1'!$B$1:$D$47</definedName>
    <definedName name="_xlnm.Print_Area" localSheetId="16">'Acc Pol 8'!$B$6:$B$47</definedName>
    <definedName name="_xlnm.Print_Area" localSheetId="8">'Acc''g policies 1'!$A$1:$B$41</definedName>
    <definedName name="_xlnm.Print_Area" localSheetId="9">'Acc''g policies 2'!$A$30:$B$59</definedName>
    <definedName name="_xlnm.Print_Area" localSheetId="10">'Acc''g policies 3'!$B$1:$B$38</definedName>
    <definedName name="_xlnm.Print_Area" localSheetId="14">'Acc''g policies 6'!$B$23:$B$50</definedName>
    <definedName name="_xlnm.Print_Area" localSheetId="53">'Acc''g policies 8'!$A$2:$B$29</definedName>
    <definedName name="_xlnm.Print_Area" localSheetId="17">'Acc''g policies 9'!$B$1:$C$38</definedName>
    <definedName name="_xlnm.Print_Area" localSheetId="0">Guidance!$A:$B</definedName>
    <definedName name="_xlnm.Print_Area" localSheetId="4">SOCI!$A$1:$F$64</definedName>
    <definedName name="_xlnm.Print_Area" localSheetId="6">SoCIE!$A$1:$H$87</definedName>
    <definedName name="_xlnm.Print_Area" localSheetId="3">Title!$A$1:$C$42</definedName>
    <definedName name="SelectedFT">Settings!$C$7</definedName>
    <definedName name="Status">Settings!$C$8</definedName>
    <definedName name="Z_EDC1BD6E_863A_4FC6_A3A9_F32079F4F0C1_.wvu.PrintArea" localSheetId="8" hidden="1">'Acc''g policies 1'!$A$1:$D$23</definedName>
    <definedName name="Z_EDC1BD6E_863A_4FC6_A3A9_F32079F4F0C1_.wvu.PrintArea" localSheetId="9" hidden="1">'Acc''g policies 2'!$A$1:$D$49</definedName>
    <definedName name="Z_EDC1BD6E_863A_4FC6_A3A9_F32079F4F0C1_.wvu.PrintArea" localSheetId="10" hidden="1">'Acc''g policies 3'!$A$1:$D$31</definedName>
    <definedName name="Z_EDC1BD6E_863A_4FC6_A3A9_F32079F4F0C1_.wvu.PrintArea" localSheetId="12" hidden="1">'Acc''g policies 4'!$A$4:$D$64</definedName>
    <definedName name="Z_EDC1BD6E_863A_4FC6_A3A9_F32079F4F0C1_.wvu.PrintArea" localSheetId="13" hidden="1">'Acc''g policies 5'!$A$1:$D$43</definedName>
    <definedName name="Z_EDC1BD6E_863A_4FC6_A3A9_F32079F4F0C1_.wvu.PrintArea" localSheetId="14" hidden="1">'Acc''g policies 6'!$A$19:$E$57</definedName>
    <definedName name="Z_EDC1BD6E_863A_4FC6_A3A9_F32079F4F0C1_.wvu.PrintArea" localSheetId="15" hidden="1">'Acc''g policies 7'!$A$11:$E$62</definedName>
    <definedName name="Z_EDC1BD6E_863A_4FC6_A3A9_F32079F4F0C1_.wvu.PrintArea" localSheetId="53" hidden="1">'Acc''g policies 8'!$A$7:$D$53</definedName>
    <definedName name="Z_EDC1BD6E_863A_4FC6_A3A9_F32079F4F0C1_.wvu.PrintArea" localSheetId="17" hidden="1">'Acc''g policies 9'!$A$1:$D$45</definedName>
    <definedName name="Z_EDC1BD6E_863A_4FC6_A3A9_F32079F4F0C1_.wvu.PrintArea" localSheetId="5" hidden="1">SoFP!$B$1:$G$54</definedName>
    <definedName name="Z_EDC1BD6E_863A_4FC6_A3A9_F32079F4F0C1_.wvu.Rows" localSheetId="1" hidden="1">Settings!$32:$184</definedName>
  </definedNames>
  <calcPr calcId="191028"/>
  <customWorkbookViews>
    <customWorkbookView name="ES" guid="{EDC1BD6E-863A-4FC6-A3A9-F32079F4F0C1}" maximized="1" windowWidth="1920" windowHeight="849" tabRatio="895"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101" l="1"/>
  <c r="A33" i="101" s="1"/>
  <c r="A4" i="88" s="1"/>
  <c r="A37" i="89"/>
  <c r="A11" i="89"/>
  <c r="B23" i="70"/>
  <c r="A23" i="70"/>
  <c r="A87" i="69"/>
  <c r="B12" i="69"/>
  <c r="A69" i="69"/>
  <c r="B87" i="69" s="1"/>
  <c r="A42" i="100"/>
  <c r="B42" i="100" s="1"/>
  <c r="A1" i="70"/>
  <c r="A19" i="70" s="1"/>
  <c r="A12" i="69"/>
  <c r="A39" i="100"/>
  <c r="B31" i="101"/>
  <c r="A36" i="100"/>
  <c r="A1" i="100"/>
  <c r="A25" i="100" s="1"/>
  <c r="B25" i="100" s="1"/>
  <c r="A54" i="85"/>
  <c r="B54" i="85" s="1"/>
  <c r="A40" i="85"/>
  <c r="A28" i="101"/>
  <c r="A6" i="69" l="1"/>
  <c r="A40" i="101"/>
  <c r="B33" i="101"/>
  <c r="B30" i="101"/>
  <c r="B39" i="100"/>
  <c r="B36" i="100"/>
  <c r="A28" i="77" l="1"/>
  <c r="A1" i="77"/>
  <c r="G116" i="46"/>
  <c r="G123" i="46" l="1"/>
  <c r="E89" i="39" l="1"/>
  <c r="C89" i="39"/>
  <c r="E84" i="39"/>
  <c r="C84" i="39"/>
  <c r="D43" i="45" l="1"/>
  <c r="E43" i="45" l="1"/>
  <c r="C55" i="78"/>
  <c r="K50" i="75" l="1"/>
  <c r="J50" i="75"/>
  <c r="D45" i="75"/>
  <c r="I104" i="46"/>
  <c r="G104" i="46"/>
  <c r="I98" i="46"/>
  <c r="G98" i="46"/>
  <c r="E98" i="46"/>
  <c r="C98" i="46"/>
  <c r="I93" i="46"/>
  <c r="G93" i="46"/>
  <c r="E93" i="46"/>
  <c r="C93" i="46"/>
  <c r="I89" i="46"/>
  <c r="G89" i="46"/>
  <c r="E89" i="46"/>
  <c r="C89" i="46"/>
  <c r="F8" i="50"/>
  <c r="G3" i="50"/>
  <c r="F3" i="50"/>
  <c r="G55" i="50"/>
  <c r="F55" i="50"/>
  <c r="G50" i="50"/>
  <c r="F50" i="50"/>
  <c r="B48" i="50"/>
  <c r="B3" i="49"/>
  <c r="D47" i="75" l="1"/>
  <c r="E45" i="75"/>
  <c r="G110" i="46"/>
  <c r="G113" i="46" s="1"/>
  <c r="I110" i="46"/>
  <c r="I113" i="46" s="1"/>
  <c r="E47" i="75" l="1"/>
  <c r="F45" i="75"/>
  <c r="F47" i="75" l="1"/>
  <c r="G45" i="75"/>
  <c r="H45" i="75" l="1"/>
  <c r="G47" i="75"/>
  <c r="I45" i="75" l="1"/>
  <c r="H47" i="75"/>
  <c r="J45" i="75" l="1"/>
  <c r="I47" i="75"/>
  <c r="J47" i="75" l="1"/>
  <c r="K45" i="75"/>
  <c r="K47" i="75" l="1"/>
  <c r="D53" i="75"/>
  <c r="E54" i="45"/>
  <c r="E50" i="45"/>
  <c r="D54" i="45"/>
  <c r="D50" i="45"/>
  <c r="E37" i="45"/>
  <c r="D37" i="45"/>
  <c r="D55" i="75" l="1"/>
  <c r="E53" i="75"/>
  <c r="I114" i="43"/>
  <c r="I109" i="43"/>
  <c r="I104" i="43"/>
  <c r="I89" i="43"/>
  <c r="I91" i="43"/>
  <c r="I95" i="43"/>
  <c r="I65" i="43"/>
  <c r="I66" i="43"/>
  <c r="I69" i="43"/>
  <c r="I72" i="43"/>
  <c r="I73" i="43"/>
  <c r="I74" i="43"/>
  <c r="G109" i="43"/>
  <c r="G104" i="43"/>
  <c r="I100" i="43"/>
  <c r="I99" i="43"/>
  <c r="I98" i="43"/>
  <c r="I97" i="43"/>
  <c r="I96" i="43"/>
  <c r="I94" i="43"/>
  <c r="I93" i="43"/>
  <c r="I92" i="43"/>
  <c r="I88" i="43"/>
  <c r="I84" i="43"/>
  <c r="I83" i="43"/>
  <c r="I78" i="43"/>
  <c r="I77" i="43"/>
  <c r="I76" i="43"/>
  <c r="I75" i="43"/>
  <c r="I71" i="43"/>
  <c r="I70" i="43"/>
  <c r="I68" i="43"/>
  <c r="I67" i="43"/>
  <c r="B101" i="43"/>
  <c r="B85" i="43"/>
  <c r="B83" i="43"/>
  <c r="B79" i="43"/>
  <c r="B64" i="43"/>
  <c r="I58" i="43"/>
  <c r="G58" i="43"/>
  <c r="I54" i="43"/>
  <c r="G54" i="43"/>
  <c r="I50" i="43"/>
  <c r="G50" i="43"/>
  <c r="G47" i="43"/>
  <c r="I47" i="43"/>
  <c r="I43" i="43"/>
  <c r="G43" i="43"/>
  <c r="E62" i="39"/>
  <c r="C62" i="39"/>
  <c r="E56" i="39"/>
  <c r="E59" i="39" s="1"/>
  <c r="C56" i="39"/>
  <c r="C59" i="39" s="1"/>
  <c r="E46" i="39"/>
  <c r="E50" i="39" s="1"/>
  <c r="C44" i="39" s="1"/>
  <c r="C46" i="39" s="1"/>
  <c r="C50" i="39" s="1"/>
  <c r="E42" i="39"/>
  <c r="C42" i="39"/>
  <c r="F53" i="75" l="1"/>
  <c r="E55" i="75"/>
  <c r="I85" i="43"/>
  <c r="I101" i="43" s="1"/>
  <c r="G114" i="43"/>
  <c r="G85" i="43"/>
  <c r="G101" i="43" s="1"/>
  <c r="G64" i="43" s="1"/>
  <c r="G79" i="43" s="1"/>
  <c r="C76" i="39"/>
  <c r="E76" i="39"/>
  <c r="G53" i="75" l="1"/>
  <c r="F55" i="75"/>
  <c r="I64" i="43"/>
  <c r="I79" i="43" s="1"/>
  <c r="H53" i="75" l="1"/>
  <c r="G55" i="75"/>
  <c r="B91" i="35"/>
  <c r="B82" i="35"/>
  <c r="E82" i="35"/>
  <c r="B80" i="35"/>
  <c r="E77" i="35"/>
  <c r="C77" i="35"/>
  <c r="I53" i="75" l="1"/>
  <c r="H55" i="75"/>
  <c r="E91" i="35"/>
  <c r="C80" i="35" s="1"/>
  <c r="C82" i="35" s="1"/>
  <c r="C91" i="35" s="1"/>
  <c r="E28" i="35"/>
  <c r="C28" i="35"/>
  <c r="I79" i="94"/>
  <c r="G79" i="94"/>
  <c r="I75" i="94"/>
  <c r="G75" i="94"/>
  <c r="B72" i="94"/>
  <c r="B62" i="94"/>
  <c r="I62" i="94"/>
  <c r="I72" i="94" s="1"/>
  <c r="G60" i="94" s="1"/>
  <c r="G62" i="94" s="1"/>
  <c r="G72" i="94" s="1"/>
  <c r="I58" i="94"/>
  <c r="G58" i="94"/>
  <c r="J53" i="75" l="1"/>
  <c r="I55" i="75"/>
  <c r="E47" i="35"/>
  <c r="C47" i="35"/>
  <c r="E65" i="35"/>
  <c r="C65" i="35"/>
  <c r="K53" i="75" l="1"/>
  <c r="K55" i="75" s="1"/>
  <c r="J55" i="75"/>
  <c r="A1" i="88"/>
  <c r="G64" i="61" l="1"/>
  <c r="G73" i="61" s="1"/>
  <c r="I60" i="61"/>
  <c r="G60" i="61"/>
  <c r="I53" i="61"/>
  <c r="G53" i="61"/>
  <c r="B52" i="61"/>
  <c r="G46" i="61"/>
  <c r="G49" i="61" s="1"/>
  <c r="I34" i="61"/>
  <c r="G34" i="61"/>
  <c r="G30" i="61"/>
  <c r="I24" i="61"/>
  <c r="G24" i="61"/>
  <c r="E46" i="23"/>
  <c r="C46" i="23"/>
  <c r="I30" i="61" l="1"/>
  <c r="I46" i="61"/>
  <c r="I49" i="61" s="1"/>
  <c r="I64" i="61"/>
  <c r="I73" i="61" s="1"/>
  <c r="E27" i="81"/>
  <c r="C27" i="81"/>
  <c r="E85" i="12"/>
  <c r="D85" i="12"/>
  <c r="I73" i="12"/>
  <c r="I70" i="12"/>
  <c r="I72" i="12"/>
  <c r="E78" i="12"/>
  <c r="E73" i="12"/>
  <c r="I78" i="12"/>
  <c r="E70" i="12"/>
  <c r="I69" i="12"/>
  <c r="G66" i="12"/>
  <c r="C66" i="12"/>
  <c r="C71" i="81" l="1"/>
  <c r="C73" i="81" s="1"/>
  <c r="E71" i="81"/>
  <c r="E73" i="81" s="1"/>
  <c r="H79" i="12"/>
  <c r="C79" i="12"/>
  <c r="D79" i="12"/>
  <c r="E69" i="12"/>
  <c r="G79" i="12"/>
  <c r="I79" i="12"/>
  <c r="I81" i="12" s="1"/>
  <c r="E79" i="12" l="1"/>
  <c r="E81" i="12" s="1"/>
  <c r="A30" i="85" l="1"/>
  <c r="B30" i="85" s="1"/>
  <c r="A1" i="11" l="1"/>
  <c r="B11" i="94" l="1"/>
  <c r="B9" i="94"/>
  <c r="A11" i="5" l="1"/>
  <c r="A14" i="5"/>
  <c r="B14" i="5"/>
  <c r="A18" i="5"/>
  <c r="B18" i="5"/>
  <c r="G12" i="75" l="1"/>
  <c r="C62" i="48"/>
  <c r="E62" i="48"/>
  <c r="E54" i="48"/>
  <c r="C54" i="48"/>
  <c r="B56" i="48"/>
  <c r="G37" i="83" l="1"/>
  <c r="G33" i="83"/>
  <c r="E23" i="93"/>
  <c r="C23" i="93"/>
  <c r="I52" i="92" l="1"/>
  <c r="J38" i="80"/>
  <c r="K37" i="80"/>
  <c r="K28" i="80"/>
  <c r="F29" i="80"/>
  <c r="J45" i="79"/>
  <c r="E9" i="39" l="1"/>
  <c r="C5" i="39"/>
  <c r="E14" i="35" l="1"/>
  <c r="C14" i="35"/>
  <c r="K13" i="76" l="1"/>
  <c r="J13" i="76"/>
  <c r="E6" i="93"/>
  <c r="C39" i="92"/>
  <c r="E6" i="73" l="1"/>
  <c r="G39" i="92"/>
  <c r="F39" i="92"/>
  <c r="H39" i="92"/>
  <c r="E39" i="92"/>
  <c r="D39" i="92"/>
  <c r="E17" i="73" l="1"/>
  <c r="G50" i="92"/>
  <c r="H50" i="92"/>
  <c r="E50" i="92"/>
  <c r="D50" i="92"/>
  <c r="F50" i="92"/>
  <c r="C50" i="92"/>
  <c r="I52" i="79" l="1"/>
  <c r="G52" i="79"/>
  <c r="H52" i="79"/>
  <c r="J54" i="79"/>
  <c r="F52" i="79"/>
  <c r="J61" i="79"/>
  <c r="J53" i="79"/>
  <c r="J55" i="79"/>
  <c r="J58" i="79"/>
  <c r="J50" i="79"/>
  <c r="E52" i="79"/>
  <c r="C52" i="79"/>
  <c r="J56" i="79"/>
  <c r="J57" i="79"/>
  <c r="J59" i="79"/>
  <c r="J60" i="79"/>
  <c r="D52" i="79"/>
  <c r="J51" i="79"/>
  <c r="J52" i="79" l="1"/>
  <c r="D61" i="12"/>
  <c r="E61" i="12"/>
  <c r="G38" i="83"/>
  <c r="G40" i="83" l="1"/>
  <c r="B29" i="80" l="1"/>
  <c r="I38" i="80"/>
  <c r="H38" i="80"/>
  <c r="G38" i="80"/>
  <c r="F38" i="80"/>
  <c r="E38" i="80"/>
  <c r="D38" i="80"/>
  <c r="C38" i="80"/>
  <c r="K38" i="80" s="1"/>
  <c r="B38" i="80"/>
  <c r="K36" i="80"/>
  <c r="J29" i="80"/>
  <c r="I29" i="80"/>
  <c r="H29" i="80"/>
  <c r="E29" i="80"/>
  <c r="D29" i="80"/>
  <c r="C29" i="80" l="1"/>
  <c r="G29" i="80"/>
  <c r="K29" i="80"/>
  <c r="K27" i="80"/>
  <c r="G25" i="47" l="1"/>
  <c r="B19" i="47"/>
  <c r="B11" i="47"/>
  <c r="B9" i="47"/>
  <c r="I25" i="47"/>
  <c r="I7" i="47"/>
  <c r="G14" i="83" l="1"/>
  <c r="E27" i="83"/>
  <c r="I34" i="47"/>
  <c r="I38" i="47" s="1"/>
  <c r="G34" i="47"/>
  <c r="G38" i="47" s="1"/>
  <c r="F27" i="83"/>
  <c r="D27" i="83"/>
  <c r="G35" i="83"/>
  <c r="G36" i="83"/>
  <c r="I11" i="47"/>
  <c r="I19" i="47" s="1"/>
  <c r="G9" i="47" s="1"/>
  <c r="G11" i="47" s="1"/>
  <c r="G28" i="94" l="1"/>
  <c r="B20" i="94"/>
  <c r="I7" i="94"/>
  <c r="B66" i="92"/>
  <c r="B29" i="92"/>
  <c r="B65" i="92"/>
  <c r="B63" i="92"/>
  <c r="B52" i="92"/>
  <c r="B50" i="92"/>
  <c r="B37" i="92"/>
  <c r="B54" i="92"/>
  <c r="B39" i="92"/>
  <c r="H54" i="92" l="1"/>
  <c r="H63" i="92" s="1"/>
  <c r="H17" i="92" s="1"/>
  <c r="H26" i="92" s="1"/>
  <c r="D54" i="92"/>
  <c r="D63" i="92" s="1"/>
  <c r="D17" i="92" s="1"/>
  <c r="D26" i="92" s="1"/>
  <c r="E4" i="92"/>
  <c r="G34" i="94"/>
  <c r="G36" i="94" s="1"/>
  <c r="I11" i="94"/>
  <c r="E54" i="92"/>
  <c r="F54" i="92"/>
  <c r="F63" i="92" s="1"/>
  <c r="F17" i="92" s="1"/>
  <c r="F26" i="92" s="1"/>
  <c r="K39" i="92"/>
  <c r="I48" i="92"/>
  <c r="I38" i="92"/>
  <c r="G54" i="92"/>
  <c r="G63" i="92" s="1"/>
  <c r="G17" i="92" s="1"/>
  <c r="G26" i="92" s="1"/>
  <c r="K54" i="92"/>
  <c r="K63" i="92" s="1"/>
  <c r="K17" i="92" s="1"/>
  <c r="K26" i="92" s="1"/>
  <c r="I55" i="92"/>
  <c r="I59" i="92"/>
  <c r="I53" i="92"/>
  <c r="C54" i="92"/>
  <c r="C63" i="92" s="1"/>
  <c r="I43" i="92"/>
  <c r="I47" i="92"/>
  <c r="I41" i="92"/>
  <c r="I45" i="92"/>
  <c r="I58" i="92"/>
  <c r="I62" i="92"/>
  <c r="I42" i="92"/>
  <c r="I46" i="92"/>
  <c r="I40" i="92"/>
  <c r="I44" i="92"/>
  <c r="I49" i="92"/>
  <c r="I57" i="92"/>
  <c r="I61" i="92"/>
  <c r="I56" i="92"/>
  <c r="I60" i="92"/>
  <c r="I37" i="92"/>
  <c r="H66" i="92" l="1"/>
  <c r="H4" i="92"/>
  <c r="H15" i="92" s="1"/>
  <c r="E66" i="92"/>
  <c r="G4" i="92"/>
  <c r="G66" i="92"/>
  <c r="F4" i="92"/>
  <c r="F66" i="92"/>
  <c r="D4" i="92"/>
  <c r="D66" i="92"/>
  <c r="E15" i="92"/>
  <c r="E63" i="92"/>
  <c r="E17" i="92" s="1"/>
  <c r="E26" i="92" s="1"/>
  <c r="C66" i="92"/>
  <c r="K50" i="92"/>
  <c r="K4" i="92" s="1"/>
  <c r="K66" i="92"/>
  <c r="I39" i="92"/>
  <c r="I50" i="92" s="1"/>
  <c r="I54" i="92"/>
  <c r="I63" i="92" s="1"/>
  <c r="C4" i="92"/>
  <c r="C17" i="92"/>
  <c r="F65" i="92" l="1"/>
  <c r="H29" i="92"/>
  <c r="H65" i="92"/>
  <c r="G65" i="92"/>
  <c r="K65" i="92"/>
  <c r="D65" i="92"/>
  <c r="F15" i="92"/>
  <c r="F29" i="92"/>
  <c r="D15" i="92"/>
  <c r="D29" i="92"/>
  <c r="I65" i="92"/>
  <c r="I66" i="92"/>
  <c r="E65" i="92"/>
  <c r="C15" i="92"/>
  <c r="C29" i="92"/>
  <c r="E29" i="92"/>
  <c r="K15" i="92"/>
  <c r="K29" i="92"/>
  <c r="G15" i="92"/>
  <c r="G29" i="92"/>
  <c r="C65" i="92"/>
  <c r="I20" i="94" l="1"/>
  <c r="G9" i="94" s="1"/>
  <c r="G11" i="94" s="1"/>
  <c r="G20" i="94" s="1"/>
  <c r="E25" i="21" l="1"/>
  <c r="E24" i="56" l="1"/>
  <c r="H54" i="77"/>
  <c r="H50" i="77"/>
  <c r="H35" i="77"/>
  <c r="C25" i="21" l="1"/>
  <c r="I4" i="92" l="1"/>
  <c r="C26" i="92" l="1"/>
  <c r="I28" i="94" l="1"/>
  <c r="I34" i="94" l="1"/>
  <c r="I36" i="94" s="1"/>
  <c r="D9" i="76" l="1"/>
  <c r="E9" i="76" s="1"/>
  <c r="F9" i="76" s="1"/>
  <c r="G9" i="76" s="1"/>
  <c r="H9" i="76" s="1"/>
  <c r="I9" i="76" s="1"/>
  <c r="J9" i="76" s="1"/>
  <c r="E25" i="47"/>
  <c r="E28" i="94"/>
  <c r="C28" i="94"/>
  <c r="E34" i="94" l="1"/>
  <c r="E36" i="94" s="1"/>
  <c r="E34" i="47"/>
  <c r="E38" i="47" s="1"/>
  <c r="B20" i="80" l="1"/>
  <c r="B9" i="80"/>
  <c r="G7" i="47" l="1"/>
  <c r="C25" i="47"/>
  <c r="C34" i="47" l="1"/>
  <c r="C38" i="47" s="1"/>
  <c r="C15" i="56" l="1"/>
  <c r="C6" i="56"/>
  <c r="E6" i="56"/>
  <c r="E11" i="56"/>
  <c r="C11" i="56" l="1"/>
  <c r="C24" i="56"/>
  <c r="B36" i="94" l="1"/>
  <c r="G7" i="94"/>
  <c r="C34" i="94" l="1"/>
  <c r="C36" i="94" s="1"/>
  <c r="E19" i="93" l="1"/>
  <c r="C19" i="93"/>
  <c r="B16" i="93"/>
  <c r="B6" i="93"/>
  <c r="E2" i="93"/>
  <c r="C2" i="93"/>
  <c r="E16" i="93" l="1"/>
  <c r="C4" i="93" s="1"/>
  <c r="C6" i="93" s="1"/>
  <c r="C16" i="93" l="1"/>
  <c r="G25" i="83"/>
  <c r="I18" i="92"/>
  <c r="I24" i="92"/>
  <c r="I17" i="92"/>
  <c r="I29" i="92" s="1"/>
  <c r="I20" i="92"/>
  <c r="I19" i="92"/>
  <c r="I21" i="92"/>
  <c r="I25" i="92"/>
  <c r="I22" i="92"/>
  <c r="I23" i="92"/>
  <c r="I26" i="92" l="1"/>
  <c r="K28" i="92"/>
  <c r="C28" i="92"/>
  <c r="B28" i="92" l="1"/>
  <c r="B26" i="92"/>
  <c r="B15" i="92"/>
  <c r="I14" i="92"/>
  <c r="I13" i="92"/>
  <c r="I12" i="92"/>
  <c r="I11" i="92"/>
  <c r="I10" i="92"/>
  <c r="I9" i="92"/>
  <c r="I8" i="92"/>
  <c r="I7" i="92"/>
  <c r="I6" i="92"/>
  <c r="I5" i="92"/>
  <c r="I15" i="92" l="1"/>
  <c r="G28" i="83"/>
  <c r="J6" i="45" l="1"/>
  <c r="D28" i="92" l="1"/>
  <c r="E28" i="92"/>
  <c r="F28" i="92"/>
  <c r="G28" i="92"/>
  <c r="H28" i="92"/>
  <c r="D17" i="78" l="1"/>
  <c r="H6" i="77"/>
  <c r="I28" i="92" l="1"/>
  <c r="B17" i="92"/>
  <c r="B4" i="92"/>
  <c r="F51" i="10" l="1"/>
  <c r="G13" i="83" l="1"/>
  <c r="J13" i="45"/>
  <c r="J7" i="45"/>
  <c r="J12" i="45"/>
  <c r="E5" i="87" l="1"/>
  <c r="B27" i="83"/>
  <c r="F51" i="6" l="1"/>
  <c r="E14" i="81"/>
  <c r="C14" i="81"/>
  <c r="E9" i="81"/>
  <c r="C9" i="81"/>
  <c r="E2" i="81"/>
  <c r="C2" i="81"/>
  <c r="D7" i="78" l="1"/>
  <c r="G7" i="37" l="1"/>
  <c r="G16" i="37" s="1"/>
  <c r="F7" i="37" l="1"/>
  <c r="F16" i="37" s="1"/>
  <c r="I37" i="43" l="1"/>
  <c r="G37" i="43"/>
  <c r="B2" i="88" l="1"/>
  <c r="C5" i="87" l="1"/>
  <c r="B72" i="49"/>
  <c r="B61" i="49"/>
  <c r="B48" i="49"/>
  <c r="G18" i="83" l="1"/>
  <c r="G41" i="83"/>
  <c r="E46" i="83"/>
  <c r="G46" i="83"/>
  <c r="C31" i="39"/>
  <c r="E31" i="39"/>
  <c r="E2" i="39"/>
  <c r="C2" i="39"/>
  <c r="B7" i="37"/>
  <c r="E37" i="39" l="1"/>
  <c r="C37" i="39"/>
  <c r="G51" i="83"/>
  <c r="E56" i="83"/>
  <c r="E51" i="83"/>
  <c r="G56" i="83"/>
  <c r="E5" i="39"/>
  <c r="B5" i="37" l="1"/>
  <c r="F2" i="37"/>
  <c r="C2" i="37"/>
  <c r="G9" i="86" l="1"/>
  <c r="C9" i="86"/>
  <c r="D2" i="86"/>
  <c r="C2" i="86"/>
  <c r="G34" i="83" l="1"/>
  <c r="E50" i="49" l="1"/>
  <c r="E51" i="49"/>
  <c r="C27" i="83" l="1"/>
  <c r="G26" i="83" l="1"/>
  <c r="B34" i="77" l="1"/>
  <c r="B56" i="77" s="1"/>
  <c r="B43" i="83" l="1"/>
  <c r="B25" i="83"/>
  <c r="A56" i="77"/>
  <c r="A32" i="77"/>
  <c r="A34" i="77"/>
  <c r="H49" i="77" l="1"/>
  <c r="F34" i="77"/>
  <c r="G34" i="77"/>
  <c r="H51" i="77"/>
  <c r="H46" i="77"/>
  <c r="H53" i="77"/>
  <c r="H47" i="77"/>
  <c r="E34" i="77"/>
  <c r="D34" i="77"/>
  <c r="E80" i="49" l="1"/>
  <c r="E78" i="49"/>
  <c r="B64" i="79" l="1"/>
  <c r="B65" i="79"/>
  <c r="B29" i="79"/>
  <c r="B30" i="79"/>
  <c r="E69" i="49" l="1"/>
  <c r="E67" i="49"/>
  <c r="E43" i="49"/>
  <c r="E55" i="18"/>
  <c r="C55" i="18"/>
  <c r="E54" i="18"/>
  <c r="C54" i="18"/>
  <c r="E53" i="18"/>
  <c r="C53" i="18"/>
  <c r="E57" i="18" l="1"/>
  <c r="D11" i="76" l="1"/>
  <c r="E11" i="76" l="1"/>
  <c r="A1" i="85" l="1"/>
  <c r="F11" i="76"/>
  <c r="B12" i="12" l="1"/>
  <c r="B1" i="85"/>
  <c r="G11" i="76"/>
  <c r="H11" i="76" l="1"/>
  <c r="A46" i="85"/>
  <c r="B40" i="85"/>
  <c r="A50" i="85" l="1"/>
  <c r="B50" i="85" s="1"/>
  <c r="A1" i="67"/>
  <c r="I11" i="76"/>
  <c r="B46" i="85"/>
  <c r="B1" i="67" l="1"/>
  <c r="K9" i="76"/>
  <c r="J11" i="76"/>
  <c r="D16" i="76" l="1"/>
  <c r="E16" i="76" s="1"/>
  <c r="F16" i="76" s="1"/>
  <c r="G16" i="76" s="1"/>
  <c r="H16" i="76" s="1"/>
  <c r="I16" i="76" s="1"/>
  <c r="K11" i="76"/>
  <c r="F55" i="10"/>
  <c r="H18" i="76" l="1"/>
  <c r="G18" i="76"/>
  <c r="F18" i="76"/>
  <c r="E18" i="76"/>
  <c r="D18" i="76"/>
  <c r="G42" i="83"/>
  <c r="G39" i="83"/>
  <c r="G27" i="83"/>
  <c r="G19" i="83"/>
  <c r="G17" i="83"/>
  <c r="G16" i="83"/>
  <c r="G12" i="83"/>
  <c r="I18" i="76" l="1"/>
  <c r="B20" i="83"/>
  <c r="B5" i="83"/>
  <c r="C22" i="44"/>
  <c r="E22" i="44"/>
  <c r="B16" i="37" l="1"/>
  <c r="C20" i="81" l="1"/>
  <c r="E20" i="81"/>
  <c r="E24" i="81" l="1"/>
  <c r="C24" i="81"/>
  <c r="E44" i="49" l="1"/>
  <c r="H18" i="77"/>
  <c r="H17" i="77"/>
  <c r="C8" i="1" l="1"/>
  <c r="C7" i="1"/>
  <c r="B50" i="48" l="1"/>
  <c r="B3" i="47"/>
  <c r="B26" i="42"/>
  <c r="E29" i="58"/>
  <c r="E40" i="58"/>
  <c r="E34" i="42"/>
  <c r="E25" i="73"/>
  <c r="E36" i="73" s="1"/>
  <c r="B25" i="73"/>
  <c r="B23" i="73"/>
  <c r="B6" i="73"/>
  <c r="B4" i="73"/>
  <c r="B32" i="48" l="1"/>
  <c r="E34" i="48"/>
  <c r="C34" i="48"/>
  <c r="E41" i="18"/>
  <c r="C41" i="18"/>
  <c r="B14" i="78" l="1"/>
  <c r="E40" i="73"/>
  <c r="C40" i="73"/>
  <c r="I18" i="75" l="1"/>
  <c r="E13" i="39" l="1"/>
  <c r="C13" i="39"/>
  <c r="D2" i="6"/>
  <c r="F2" i="6"/>
  <c r="D52" i="78" l="1"/>
  <c r="E14" i="58" l="1"/>
  <c r="E16" i="58" s="1"/>
  <c r="C14" i="58"/>
  <c r="C16" i="58" s="1"/>
  <c r="D38" i="79"/>
  <c r="E38" i="79"/>
  <c r="F38" i="79"/>
  <c r="G38" i="79"/>
  <c r="H38" i="79"/>
  <c r="I38" i="79"/>
  <c r="C38" i="79"/>
  <c r="C48" i="79" s="1"/>
  <c r="J38" i="79" l="1"/>
  <c r="F65" i="79"/>
  <c r="I65" i="79"/>
  <c r="E65" i="79"/>
  <c r="G65" i="79"/>
  <c r="D65" i="79"/>
  <c r="H65" i="79"/>
  <c r="C65" i="79"/>
  <c r="J65" i="79" l="1"/>
  <c r="D10" i="78"/>
  <c r="K19" i="80" l="1"/>
  <c r="K17" i="80"/>
  <c r="K8" i="80"/>
  <c r="K6" i="80"/>
  <c r="K18" i="80"/>
  <c r="K7" i="80"/>
  <c r="I7" i="75" l="1"/>
  <c r="G7" i="75"/>
  <c r="E7" i="75"/>
  <c r="C7" i="75"/>
  <c r="G28" i="50" l="1"/>
  <c r="F28" i="50"/>
  <c r="D28" i="50"/>
  <c r="C28" i="50"/>
  <c r="G21" i="50"/>
  <c r="F21" i="50"/>
  <c r="D21" i="50"/>
  <c r="C21" i="50"/>
  <c r="E22" i="18"/>
  <c r="E19" i="42"/>
  <c r="E9" i="42"/>
  <c r="I88" i="66"/>
  <c r="G88" i="66"/>
  <c r="E88" i="66"/>
  <c r="C88" i="66"/>
  <c r="I72" i="66"/>
  <c r="I70" i="66"/>
  <c r="I68" i="66"/>
  <c r="I56" i="66"/>
  <c r="I54" i="66"/>
  <c r="I52" i="66"/>
  <c r="F35" i="10"/>
  <c r="F29" i="50" l="1"/>
  <c r="G29" i="50"/>
  <c r="C29" i="50"/>
  <c r="D29" i="50"/>
  <c r="J14" i="79"/>
  <c r="J26" i="79"/>
  <c r="J44" i="79"/>
  <c r="D11" i="78"/>
  <c r="D13" i="78"/>
  <c r="D23" i="78"/>
  <c r="D25" i="78"/>
  <c r="D36" i="78"/>
  <c r="D39" i="78"/>
  <c r="D41" i="78"/>
  <c r="D46" i="78"/>
  <c r="D47" i="78"/>
  <c r="H20" i="77"/>
  <c r="H24" i="77"/>
  <c r="J25" i="79"/>
  <c r="E40" i="66"/>
  <c r="J8" i="45"/>
  <c r="J9" i="45"/>
  <c r="J10" i="45"/>
  <c r="J11" i="45"/>
  <c r="J17" i="45"/>
  <c r="J11" i="79"/>
  <c r="J20" i="79"/>
  <c r="J23" i="79"/>
  <c r="J40" i="79"/>
  <c r="J47" i="79"/>
  <c r="G31" i="66"/>
  <c r="G33" i="66"/>
  <c r="G35" i="66"/>
  <c r="G37" i="66"/>
  <c r="G39" i="66"/>
  <c r="G57" i="66"/>
  <c r="G73" i="66"/>
  <c r="C29" i="58"/>
  <c r="C40" i="58"/>
  <c r="E6" i="18"/>
  <c r="J12" i="79"/>
  <c r="J24" i="79"/>
  <c r="J36" i="79"/>
  <c r="C43" i="78"/>
  <c r="D54" i="78"/>
  <c r="C13" i="23"/>
  <c r="I51" i="66"/>
  <c r="I53" i="66"/>
  <c r="I55" i="66"/>
  <c r="I67" i="66"/>
  <c r="I69" i="66"/>
  <c r="I71" i="66"/>
  <c r="C19" i="42"/>
  <c r="C34" i="42"/>
  <c r="J13" i="79"/>
  <c r="J37" i="79"/>
  <c r="E13" i="23"/>
  <c r="C40" i="66"/>
  <c r="G30" i="66"/>
  <c r="G32" i="66"/>
  <c r="G34" i="66"/>
  <c r="G36" i="66"/>
  <c r="G38" i="66"/>
  <c r="J46" i="79"/>
  <c r="D12" i="78"/>
  <c r="D19" i="78"/>
  <c r="D22" i="78"/>
  <c r="D24" i="78"/>
  <c r="D35" i="78"/>
  <c r="D40" i="78"/>
  <c r="D42" i="78"/>
  <c r="D45" i="78"/>
  <c r="D48" i="78"/>
  <c r="D51" i="78"/>
  <c r="D53" i="78"/>
  <c r="E57" i="66"/>
  <c r="I50" i="66"/>
  <c r="E73" i="66"/>
  <c r="I66" i="66"/>
  <c r="I57" i="66" l="1"/>
  <c r="I73" i="66"/>
  <c r="G40" i="66"/>
  <c r="I2" i="43" l="1"/>
  <c r="G2" i="43"/>
  <c r="E30" i="42"/>
  <c r="C30" i="42"/>
  <c r="C7" i="35"/>
  <c r="E7" i="35"/>
  <c r="B62" i="79"/>
  <c r="B52" i="79"/>
  <c r="B50" i="79"/>
  <c r="B48" i="79"/>
  <c r="B38" i="79"/>
  <c r="B36" i="79"/>
  <c r="B27" i="79"/>
  <c r="B17" i="79"/>
  <c r="B15" i="79"/>
  <c r="B5" i="79"/>
  <c r="B58" i="78"/>
  <c r="B57" i="78"/>
  <c r="B55" i="78"/>
  <c r="B45" i="78"/>
  <c r="B43" i="78"/>
  <c r="B29" i="78"/>
  <c r="B28" i="78"/>
  <c r="B26" i="78"/>
  <c r="B16" i="78"/>
  <c r="B5" i="78"/>
  <c r="A26" i="77" l="1"/>
  <c r="A5" i="77"/>
  <c r="D58" i="78" l="1"/>
  <c r="G79" i="66" l="1"/>
  <c r="C79" i="66"/>
  <c r="B61" i="66"/>
  <c r="B45" i="66"/>
  <c r="I27" i="66"/>
  <c r="G27" i="66"/>
  <c r="I7" i="66"/>
  <c r="G7" i="66"/>
  <c r="F30" i="75"/>
  <c r="G18" i="75"/>
  <c r="I12" i="75"/>
  <c r="E12" i="75"/>
  <c r="C12" i="75"/>
  <c r="I3" i="75"/>
  <c r="G3" i="75"/>
  <c r="E3" i="75"/>
  <c r="C3" i="75"/>
  <c r="F41" i="50"/>
  <c r="C41" i="50"/>
  <c r="F12" i="50"/>
  <c r="C12" i="50"/>
  <c r="B81" i="49"/>
  <c r="B70" i="49"/>
  <c r="B53" i="49"/>
  <c r="B46" i="49"/>
  <c r="B25" i="48"/>
  <c r="E23" i="48"/>
  <c r="C23" i="48"/>
  <c r="E8" i="48"/>
  <c r="C8" i="48"/>
  <c r="E51" i="18"/>
  <c r="C51" i="18"/>
  <c r="E2" i="18"/>
  <c r="C2" i="18"/>
  <c r="E35" i="58"/>
  <c r="C35" i="58"/>
  <c r="E25" i="58"/>
  <c r="C25" i="58"/>
  <c r="E7" i="58"/>
  <c r="C7" i="58"/>
  <c r="B14" i="45"/>
  <c r="B5" i="45"/>
  <c r="E2" i="44"/>
  <c r="C2" i="44"/>
  <c r="E37" i="43"/>
  <c r="C37" i="43"/>
  <c r="E5" i="42"/>
  <c r="C5" i="42"/>
  <c r="E2" i="36"/>
  <c r="C2" i="36"/>
  <c r="B36" i="73"/>
  <c r="E21" i="73"/>
  <c r="C21" i="73"/>
  <c r="B17" i="73"/>
  <c r="E2" i="73"/>
  <c r="C2" i="73"/>
  <c r="E2" i="25"/>
  <c r="C2" i="25"/>
  <c r="E39" i="21"/>
  <c r="C39" i="21"/>
  <c r="E32" i="21"/>
  <c r="C32" i="21"/>
  <c r="E13" i="21"/>
  <c r="C13" i="21"/>
  <c r="E3" i="21"/>
  <c r="C3" i="21"/>
  <c r="E15" i="56"/>
  <c r="E2" i="15"/>
  <c r="C2" i="15"/>
  <c r="E22" i="23"/>
  <c r="C22" i="23"/>
  <c r="E2" i="23"/>
  <c r="C2" i="23"/>
  <c r="E2" i="14"/>
  <c r="C2" i="14"/>
  <c r="E49" i="12"/>
  <c r="D49" i="12"/>
  <c r="E14" i="12"/>
  <c r="D14" i="12"/>
  <c r="A11" i="12"/>
  <c r="F2" i="10"/>
  <c r="D2" i="10"/>
  <c r="G2" i="7"/>
  <c r="E2" i="7"/>
  <c r="C20" i="2"/>
  <c r="B10" i="4"/>
  <c r="B11" i="12" l="1"/>
  <c r="C4" i="6"/>
  <c r="B7" i="2"/>
  <c r="B2" i="56"/>
  <c r="B11" i="2"/>
  <c r="B7" i="4"/>
  <c r="G42" i="66"/>
  <c r="A14" i="12"/>
  <c r="B1" i="11"/>
  <c r="A48" i="12" l="1"/>
  <c r="B14" i="12"/>
  <c r="A1" i="86" l="1"/>
  <c r="A66" i="12"/>
  <c r="B1" i="86"/>
  <c r="A9" i="86"/>
  <c r="B48" i="12"/>
  <c r="B66" i="12" l="1"/>
  <c r="A84" i="12"/>
  <c r="B84" i="12" s="1"/>
  <c r="A1" i="81"/>
  <c r="B1" i="81" s="1"/>
  <c r="C5" i="6"/>
  <c r="C9" i="10"/>
  <c r="B9" i="86"/>
  <c r="A8" i="81" l="1"/>
  <c r="A19" i="68"/>
  <c r="A1" i="69" l="1"/>
  <c r="A44" i="68"/>
  <c r="B44" i="68" s="1"/>
  <c r="A18" i="81"/>
  <c r="A1" i="56" s="1"/>
  <c r="A1" i="14" s="1"/>
  <c r="B23" i="94" s="1"/>
  <c r="A26" i="81"/>
  <c r="B8" i="81"/>
  <c r="B18" i="81"/>
  <c r="B19" i="68"/>
  <c r="B26" i="81" l="1"/>
  <c r="A79" i="81"/>
  <c r="B79" i="81" s="1"/>
  <c r="A21" i="23"/>
  <c r="A45" i="23" s="1"/>
  <c r="A1" i="23"/>
  <c r="A65" i="23" l="1"/>
  <c r="B65" i="23" s="1"/>
  <c r="B45" i="23"/>
  <c r="B1" i="14"/>
  <c r="B1" i="69"/>
  <c r="B6" i="69"/>
  <c r="B1" i="23" l="1"/>
  <c r="A9" i="69"/>
  <c r="A1" i="89" l="1"/>
  <c r="A16" i="23"/>
  <c r="B16" i="23" s="1"/>
  <c r="B9" i="69"/>
  <c r="B21" i="23" l="1"/>
  <c r="C23" i="6" l="1"/>
  <c r="C8" i="10"/>
  <c r="A1" i="15"/>
  <c r="B1" i="15" l="1"/>
  <c r="A22" i="15"/>
  <c r="B19" i="70"/>
  <c r="B11" i="89" l="1"/>
  <c r="A2" i="71"/>
  <c r="B2" i="71" s="1"/>
  <c r="A33" i="89"/>
  <c r="B33" i="89" s="1"/>
  <c r="B22" i="15"/>
  <c r="A1" i="61"/>
  <c r="B1" i="56"/>
  <c r="A5" i="56"/>
  <c r="B5" i="56" s="1"/>
  <c r="A1" i="21" l="1"/>
  <c r="A22" i="61"/>
  <c r="B1" i="61"/>
  <c r="A14" i="56"/>
  <c r="B14" i="56" s="1"/>
  <c r="A7" i="71"/>
  <c r="A32" i="61" l="1"/>
  <c r="B22" i="61"/>
  <c r="A12" i="71"/>
  <c r="B7" i="71"/>
  <c r="B1" i="21"/>
  <c r="A59" i="61" l="1"/>
  <c r="B32" i="61"/>
  <c r="C9" i="6"/>
  <c r="B12" i="71"/>
  <c r="A15" i="71"/>
  <c r="A18" i="71" s="1"/>
  <c r="A11" i="21"/>
  <c r="B11" i="21" s="1"/>
  <c r="A2" i="78" l="1"/>
  <c r="B59" i="61"/>
  <c r="A21" i="71"/>
  <c r="B21" i="71" s="1"/>
  <c r="B18" i="71"/>
  <c r="C10" i="6"/>
  <c r="B15" i="71"/>
  <c r="A31" i="21"/>
  <c r="B31" i="21" s="1"/>
  <c r="A1" i="79" l="1"/>
  <c r="B2" i="78"/>
  <c r="E2" i="78"/>
  <c r="B31" i="78" s="1"/>
  <c r="A24" i="71"/>
  <c r="A38" i="21"/>
  <c r="B38" i="21" s="1"/>
  <c r="A1" i="25" l="1"/>
  <c r="C13" i="6"/>
  <c r="C32" i="6"/>
  <c r="A28" i="71"/>
  <c r="B24" i="71"/>
  <c r="B1" i="25" l="1"/>
  <c r="A8" i="25"/>
  <c r="B28" i="71"/>
  <c r="A31" i="71"/>
  <c r="B31" i="71" l="1"/>
  <c r="A35" i="71"/>
  <c r="C18" i="6"/>
  <c r="B1" i="88" l="1"/>
  <c r="B4" i="88"/>
  <c r="A31" i="78"/>
  <c r="B35" i="71"/>
  <c r="A8" i="88" l="1"/>
  <c r="A22" i="88" l="1"/>
  <c r="B24" i="88" s="1"/>
  <c r="B16" i="88"/>
  <c r="A32" i="79"/>
  <c r="B32" i="79" s="1"/>
  <c r="D6" i="7"/>
  <c r="B1" i="79"/>
  <c r="A1" i="80" l="1"/>
  <c r="B1" i="80" l="1"/>
  <c r="A41" i="80"/>
  <c r="A12" i="80"/>
  <c r="A1" i="92" l="1"/>
  <c r="B41" i="80"/>
  <c r="A23" i="80"/>
  <c r="B12" i="80"/>
  <c r="B23" i="80" l="1"/>
  <c r="A32" i="80"/>
  <c r="B32" i="80" s="1"/>
  <c r="A1" i="60"/>
  <c r="B1" i="60" s="1"/>
  <c r="A6" i="60" l="1"/>
  <c r="A25" i="60" l="1"/>
  <c r="A34" i="92" s="1"/>
  <c r="B34" i="92" s="1"/>
  <c r="B2" i="94"/>
  <c r="B6" i="60"/>
  <c r="A1" i="94" l="1"/>
  <c r="A5" i="94" s="1"/>
  <c r="B25" i="60"/>
  <c r="B1" i="92"/>
  <c r="B1" i="94" l="1"/>
  <c r="A26" i="94"/>
  <c r="A57" i="94" l="1"/>
  <c r="B26" i="94"/>
  <c r="A41" i="94"/>
  <c r="A1" i="93" s="1"/>
  <c r="B5" i="94"/>
  <c r="A74" i="94" l="1"/>
  <c r="B57" i="94"/>
  <c r="B41" i="94"/>
  <c r="B74" i="94" l="1"/>
  <c r="A5" i="35"/>
  <c r="D8" i="7"/>
  <c r="A18" i="93"/>
  <c r="B1" i="93"/>
  <c r="A1" i="73" l="1"/>
  <c r="B18" i="93"/>
  <c r="C25" i="6" l="1"/>
  <c r="D9" i="7"/>
  <c r="A20" i="73"/>
  <c r="B1" i="73"/>
  <c r="C14" i="6"/>
  <c r="D10" i="7" l="1"/>
  <c r="C26" i="6"/>
  <c r="B20" i="73"/>
  <c r="A39" i="73"/>
  <c r="C31" i="6"/>
  <c r="D17" i="7"/>
  <c r="A1" i="35" l="1"/>
  <c r="B39" i="73"/>
  <c r="A27" i="35" l="1"/>
  <c r="B1" i="35"/>
  <c r="A76" i="35" l="1"/>
  <c r="B27" i="35"/>
  <c r="A1" i="36"/>
  <c r="B5" i="35"/>
  <c r="D15" i="7"/>
  <c r="B76" i="35" l="1"/>
  <c r="A95" i="35"/>
  <c r="A1" i="37"/>
  <c r="B1" i="36"/>
  <c r="D16" i="7"/>
  <c r="D11" i="7"/>
  <c r="B95" i="35" l="1"/>
  <c r="A12" i="39"/>
  <c r="A38" i="39" s="1"/>
  <c r="A61" i="39" s="1"/>
  <c r="B1" i="37"/>
  <c r="A23" i="37"/>
  <c r="B38" i="39" l="1"/>
  <c r="B61" i="39"/>
  <c r="A1" i="47"/>
  <c r="B23" i="37"/>
  <c r="A6" i="47" l="1"/>
  <c r="A1" i="39"/>
  <c r="A81" i="39" s="1"/>
  <c r="B81" i="39" s="1"/>
  <c r="B1" i="47"/>
  <c r="D12" i="7" l="1"/>
  <c r="B1" i="39"/>
  <c r="D18" i="7"/>
  <c r="A23" i="47"/>
  <c r="B6" i="47"/>
  <c r="B23" i="47" l="1"/>
  <c r="A44" i="47"/>
  <c r="D19" i="7"/>
  <c r="A30" i="39"/>
  <c r="B12" i="39"/>
  <c r="B44" i="47" l="1"/>
  <c r="B30" i="39"/>
  <c r="D28" i="7"/>
  <c r="A1" i="42"/>
  <c r="C59" i="10" l="1"/>
  <c r="A25" i="42"/>
  <c r="B1" i="42"/>
  <c r="D20" i="7"/>
  <c r="A1" i="43" l="1"/>
  <c r="A34" i="43" s="1"/>
  <c r="B25" i="42"/>
  <c r="B1" i="43" l="1"/>
  <c r="D23" i="7"/>
  <c r="D32" i="7"/>
  <c r="A42" i="43" l="1"/>
  <c r="A49" i="43" s="1"/>
  <c r="A60" i="43" s="1"/>
  <c r="B34" i="43"/>
  <c r="A1" i="44"/>
  <c r="B49" i="43" l="1"/>
  <c r="B42" i="43"/>
  <c r="A1" i="45"/>
  <c r="A21" i="44"/>
  <c r="D27" i="7"/>
  <c r="B1" i="44"/>
  <c r="D36" i="7"/>
  <c r="B60" i="43" l="1"/>
  <c r="A103" i="43"/>
  <c r="B103" i="43" s="1"/>
  <c r="A1" i="83"/>
  <c r="B21" i="44"/>
  <c r="A45" i="83" l="1"/>
  <c r="A30" i="45" s="1"/>
  <c r="B1" i="83"/>
  <c r="A35" i="45" l="1"/>
  <c r="A48" i="45" s="1"/>
  <c r="A58" i="45" s="1"/>
  <c r="A60" i="45" s="1"/>
  <c r="A1" i="49" s="1"/>
  <c r="A39" i="49" s="1"/>
  <c r="B30" i="45"/>
  <c r="D34" i="7"/>
  <c r="D25" i="7"/>
  <c r="B45" i="83"/>
  <c r="B1" i="45"/>
  <c r="A1" i="58"/>
  <c r="D26" i="7"/>
  <c r="D35" i="7"/>
  <c r="B48" i="45" l="1"/>
  <c r="B58" i="45"/>
  <c r="B35" i="45"/>
  <c r="A6" i="58"/>
  <c r="B1" i="58"/>
  <c r="B39" i="49" l="1"/>
  <c r="B60" i="45"/>
  <c r="B1" i="49" s="1"/>
  <c r="B35" i="89"/>
  <c r="B34" i="89"/>
  <c r="A24" i="58"/>
  <c r="B6" i="58"/>
  <c r="B24" i="58" l="1"/>
  <c r="A32" i="58"/>
  <c r="B32" i="58" l="1"/>
  <c r="A1" i="64"/>
  <c r="C28" i="6" l="1"/>
  <c r="A1" i="18"/>
  <c r="B1" i="64"/>
  <c r="B1" i="18" l="1"/>
  <c r="A39" i="18"/>
  <c r="C57" i="18"/>
  <c r="A50" i="18" l="1"/>
  <c r="B39" i="18"/>
  <c r="B50" i="18" l="1"/>
  <c r="A1" i="48"/>
  <c r="B1" i="48" l="1"/>
  <c r="A5" i="48"/>
  <c r="B5" i="48" l="1"/>
  <c r="A21" i="48"/>
  <c r="A31" i="48" l="1"/>
  <c r="B21" i="48"/>
  <c r="A1" i="62" l="1"/>
  <c r="A49" i="48"/>
  <c r="B49" i="48" s="1"/>
  <c r="B31" i="48"/>
  <c r="A3" i="62" l="1"/>
  <c r="B1" i="62"/>
  <c r="B3" i="62" l="1"/>
  <c r="A60" i="49" l="1"/>
  <c r="A1" i="50" s="1"/>
  <c r="B1" i="50" s="1"/>
  <c r="D5" i="37"/>
  <c r="D7" i="37" s="1"/>
  <c r="B60" i="49" l="1"/>
  <c r="A3" i="87"/>
  <c r="H15" i="77"/>
  <c r="H62" i="79"/>
  <c r="H17" i="79" s="1"/>
  <c r="E45" i="73"/>
  <c r="H16" i="77"/>
  <c r="H43" i="77"/>
  <c r="I15" i="86"/>
  <c r="I18" i="86"/>
  <c r="G14" i="66"/>
  <c r="G23" i="66"/>
  <c r="I62" i="79"/>
  <c r="I17" i="79" s="1"/>
  <c r="J41" i="79"/>
  <c r="I19" i="86"/>
  <c r="G13" i="66"/>
  <c r="G15" i="66"/>
  <c r="G20" i="66"/>
  <c r="D38" i="78"/>
  <c r="H44" i="77"/>
  <c r="H19" i="77"/>
  <c r="H45" i="77"/>
  <c r="H52" i="77"/>
  <c r="I14" i="86"/>
  <c r="E62" i="79"/>
  <c r="E17" i="79" s="1"/>
  <c r="H33" i="77"/>
  <c r="E56" i="77"/>
  <c r="E5" i="77" s="1"/>
  <c r="F62" i="79"/>
  <c r="F17" i="79" s="1"/>
  <c r="C4" i="73"/>
  <c r="C6" i="73" s="1"/>
  <c r="C45" i="73"/>
  <c r="H25" i="77"/>
  <c r="D37" i="78"/>
  <c r="C5" i="37"/>
  <c r="C7" i="37" s="1"/>
  <c r="E18" i="18"/>
  <c r="H14" i="77"/>
  <c r="H23" i="77"/>
  <c r="F56" i="77"/>
  <c r="F5" i="77" s="1"/>
  <c r="H48" i="77"/>
  <c r="H55" i="77"/>
  <c r="I21" i="86"/>
  <c r="G12" i="66"/>
  <c r="E40" i="12"/>
  <c r="D9" i="78"/>
  <c r="G62" i="79"/>
  <c r="G17" i="79" s="1"/>
  <c r="J8" i="79"/>
  <c r="I24" i="75"/>
  <c r="I27" i="75" s="1"/>
  <c r="G48" i="79"/>
  <c r="J10" i="79"/>
  <c r="H48" i="79"/>
  <c r="I48" i="79"/>
  <c r="J42" i="79"/>
  <c r="E48" i="79"/>
  <c r="F48" i="79"/>
  <c r="B3" i="87" l="1"/>
  <c r="A13" i="87"/>
  <c r="B13" i="87" s="1"/>
  <c r="I74" i="66"/>
  <c r="I19" i="66"/>
  <c r="I21" i="66" s="1"/>
  <c r="G27" i="79"/>
  <c r="D51" i="10"/>
  <c r="E19" i="66"/>
  <c r="E21" i="66" s="1"/>
  <c r="E9" i="44"/>
  <c r="G31" i="83"/>
  <c r="E25" i="48"/>
  <c r="E79" i="49"/>
  <c r="H41" i="77"/>
  <c r="E16" i="48"/>
  <c r="E10" i="48"/>
  <c r="G30" i="83"/>
  <c r="G15" i="83"/>
  <c r="E14" i="86"/>
  <c r="H13" i="77"/>
  <c r="H11" i="77"/>
  <c r="E26" i="77"/>
  <c r="D21" i="78"/>
  <c r="D16" i="37"/>
  <c r="E35" i="18"/>
  <c r="I16" i="43"/>
  <c r="G18" i="66"/>
  <c r="B5" i="77"/>
  <c r="B26" i="77" s="1"/>
  <c r="G17" i="66"/>
  <c r="C9" i="21"/>
  <c r="E17" i="39"/>
  <c r="H36" i="77"/>
  <c r="E18" i="86"/>
  <c r="E15" i="86"/>
  <c r="H22" i="77"/>
  <c r="I40" i="66"/>
  <c r="H38" i="77"/>
  <c r="D6" i="78"/>
  <c r="I12" i="86"/>
  <c r="G23" i="86"/>
  <c r="D50" i="78"/>
  <c r="C43" i="83"/>
  <c r="C5" i="83" s="1"/>
  <c r="C4" i="18"/>
  <c r="C6" i="18" s="1"/>
  <c r="E43" i="18"/>
  <c r="D34" i="78"/>
  <c r="D43" i="78" s="1"/>
  <c r="C17" i="73"/>
  <c r="D8" i="78"/>
  <c r="H9" i="77"/>
  <c r="C25" i="48"/>
  <c r="G11" i="66"/>
  <c r="H10" i="77"/>
  <c r="I22" i="86"/>
  <c r="D46" i="49"/>
  <c r="E45" i="49"/>
  <c r="E46" i="49" s="1"/>
  <c r="C34" i="77"/>
  <c r="H34" i="77" s="1"/>
  <c r="H32" i="77"/>
  <c r="H21" i="77"/>
  <c r="C62" i="79"/>
  <c r="C17" i="79" s="1"/>
  <c r="H40" i="77"/>
  <c r="G16" i="66"/>
  <c r="G6" i="83"/>
  <c r="E52" i="49"/>
  <c r="E53" i="49" s="1"/>
  <c r="D53" i="49"/>
  <c r="I13" i="86"/>
  <c r="E66" i="49"/>
  <c r="E21" i="86"/>
  <c r="E77" i="49"/>
  <c r="I20" i="86"/>
  <c r="F26" i="77"/>
  <c r="I27" i="43"/>
  <c r="H39" i="77"/>
  <c r="E9" i="21"/>
  <c r="C19" i="66"/>
  <c r="C21" i="66" s="1"/>
  <c r="G10" i="66"/>
  <c r="E36" i="48"/>
  <c r="E47" i="48" s="1"/>
  <c r="D43" i="83"/>
  <c r="D5" i="83" s="1"/>
  <c r="E68" i="49"/>
  <c r="E28" i="21"/>
  <c r="E19" i="86"/>
  <c r="C16" i="37"/>
  <c r="D56" i="77"/>
  <c r="D5" i="77" s="1"/>
  <c r="I58" i="66"/>
  <c r="C16" i="48"/>
  <c r="C10" i="48"/>
  <c r="C36" i="48"/>
  <c r="C47" i="48" s="1"/>
  <c r="E43" i="83"/>
  <c r="E5" i="83" s="1"/>
  <c r="G9" i="83"/>
  <c r="F27" i="79"/>
  <c r="H27" i="79"/>
  <c r="J22" i="79"/>
  <c r="I27" i="79"/>
  <c r="J18" i="79"/>
  <c r="H64" i="79"/>
  <c r="H5" i="79"/>
  <c r="E27" i="79"/>
  <c r="J39" i="79"/>
  <c r="G64" i="79"/>
  <c r="G5" i="79"/>
  <c r="J9" i="79"/>
  <c r="J6" i="79"/>
  <c r="E5" i="79"/>
  <c r="E64" i="79"/>
  <c r="I5" i="79"/>
  <c r="I64" i="79"/>
  <c r="F64" i="79"/>
  <c r="F5" i="79"/>
  <c r="J43" i="79"/>
  <c r="A11" i="50" l="1"/>
  <c r="C27" i="79"/>
  <c r="D26" i="77"/>
  <c r="E20" i="83"/>
  <c r="C9" i="44"/>
  <c r="E9" i="25"/>
  <c r="E13" i="86"/>
  <c r="D20" i="83"/>
  <c r="G11" i="83"/>
  <c r="C22" i="42"/>
  <c r="G19" i="66"/>
  <c r="G21" i="66" s="1"/>
  <c r="E32" i="23"/>
  <c r="E34" i="23" s="1"/>
  <c r="I14" i="45"/>
  <c r="C32" i="23"/>
  <c r="C34" i="23" s="1"/>
  <c r="F14" i="45"/>
  <c r="D14" i="45"/>
  <c r="E38" i="44"/>
  <c r="C18" i="18"/>
  <c r="C43" i="18" s="1"/>
  <c r="E20" i="86"/>
  <c r="E13" i="42"/>
  <c r="C7" i="42" s="1"/>
  <c r="C9" i="42" s="1"/>
  <c r="C14" i="45"/>
  <c r="E14" i="15"/>
  <c r="E16" i="15" s="1"/>
  <c r="D18" i="78"/>
  <c r="H8" i="77"/>
  <c r="F12" i="6"/>
  <c r="G14" i="45"/>
  <c r="C5" i="78"/>
  <c r="C20" i="18"/>
  <c r="C22" i="18" s="1"/>
  <c r="C35" i="18" s="1"/>
  <c r="E44" i="18"/>
  <c r="E45" i="18" s="1"/>
  <c r="E47" i="18" s="1"/>
  <c r="E37" i="18"/>
  <c r="E10" i="87"/>
  <c r="E74" i="49"/>
  <c r="H14" i="45"/>
  <c r="C10" i="87"/>
  <c r="E22" i="86"/>
  <c r="C38" i="44"/>
  <c r="C9" i="25"/>
  <c r="E12" i="86"/>
  <c r="E14" i="45"/>
  <c r="E63" i="49"/>
  <c r="E22" i="42"/>
  <c r="G8" i="83"/>
  <c r="C20" i="83"/>
  <c r="J7" i="79"/>
  <c r="F15" i="79"/>
  <c r="F29" i="79" s="1"/>
  <c r="F30" i="79"/>
  <c r="I15" i="79"/>
  <c r="I29" i="79" s="1"/>
  <c r="I30" i="79"/>
  <c r="C5" i="79"/>
  <c r="C64" i="79"/>
  <c r="D48" i="79"/>
  <c r="E15" i="79"/>
  <c r="E29" i="79" s="1"/>
  <c r="E30" i="79"/>
  <c r="G30" i="79"/>
  <c r="G15" i="79"/>
  <c r="G29" i="79" s="1"/>
  <c r="H15" i="79"/>
  <c r="H29" i="79" s="1"/>
  <c r="H30" i="79"/>
  <c r="J48" i="79"/>
  <c r="J19" i="79"/>
  <c r="A56" i="50" l="1"/>
  <c r="B56" i="50" s="1"/>
  <c r="A1" i="46"/>
  <c r="B11" i="50"/>
  <c r="A39" i="50"/>
  <c r="E21" i="36"/>
  <c r="C23" i="86"/>
  <c r="C23" i="73"/>
  <c r="C25" i="73" s="1"/>
  <c r="C36" i="73" s="1"/>
  <c r="D5" i="78"/>
  <c r="D14" i="78" s="1"/>
  <c r="C14" i="78"/>
  <c r="J5" i="45"/>
  <c r="J14" i="45" s="1"/>
  <c r="C9" i="39"/>
  <c r="E39" i="36"/>
  <c r="C37" i="18"/>
  <c r="C44" i="18"/>
  <c r="C45" i="18" s="1"/>
  <c r="C47" i="18" s="1"/>
  <c r="E31" i="44"/>
  <c r="D49" i="78"/>
  <c r="D55" i="78" s="1"/>
  <c r="C16" i="78"/>
  <c r="C29" i="78" s="1"/>
  <c r="G43" i="83"/>
  <c r="F43" i="83"/>
  <c r="F5" i="83" s="1"/>
  <c r="G5" i="83" s="1"/>
  <c r="G20" i="83" s="1"/>
  <c r="D5" i="79"/>
  <c r="J21" i="79"/>
  <c r="C30" i="79"/>
  <c r="C15" i="79"/>
  <c r="C29" i="79" s="1"/>
  <c r="B1" i="46" l="1"/>
  <c r="A88" i="46"/>
  <c r="B39" i="50"/>
  <c r="J5" i="79"/>
  <c r="J15" i="79" s="1"/>
  <c r="F20" i="83"/>
  <c r="E17" i="44"/>
  <c r="C57" i="78"/>
  <c r="D57" i="78" s="1"/>
  <c r="E75" i="49"/>
  <c r="D20" i="78"/>
  <c r="E65" i="49"/>
  <c r="E76" i="49"/>
  <c r="D15" i="79"/>
  <c r="D62" i="79"/>
  <c r="J62" i="79"/>
  <c r="A103" i="46" l="1"/>
  <c r="B88" i="46"/>
  <c r="A61" i="46"/>
  <c r="C31" i="44"/>
  <c r="C17" i="44"/>
  <c r="D81" i="49"/>
  <c r="E81" i="49"/>
  <c r="D16" i="78"/>
  <c r="D26" i="78" s="1"/>
  <c r="C26" i="78"/>
  <c r="D29" i="78"/>
  <c r="C21" i="36"/>
  <c r="D17" i="79"/>
  <c r="D30" i="79" s="1"/>
  <c r="D64" i="79"/>
  <c r="J64" i="79" s="1"/>
  <c r="A115" i="46" l="1"/>
  <c r="B103" i="46"/>
  <c r="A67" i="46"/>
  <c r="B61" i="46"/>
  <c r="C15" i="6"/>
  <c r="C57" i="10"/>
  <c r="C28" i="78"/>
  <c r="D28" i="78" s="1"/>
  <c r="E64" i="49"/>
  <c r="E70" i="49" s="1"/>
  <c r="D70" i="49"/>
  <c r="D27" i="79"/>
  <c r="D29" i="79" s="1"/>
  <c r="J29" i="79" s="1"/>
  <c r="J17" i="79"/>
  <c r="J27" i="79" s="1"/>
  <c r="J30" i="79"/>
  <c r="B115" i="46" l="1"/>
  <c r="A38" i="75"/>
  <c r="B38" i="75" s="1"/>
  <c r="B67" i="46"/>
  <c r="A72" i="46"/>
  <c r="B72" i="46" l="1"/>
  <c r="A82" i="46"/>
  <c r="A2" i="75" l="1"/>
  <c r="A17" i="75" s="1"/>
  <c r="B82" i="46"/>
  <c r="C28" i="21"/>
  <c r="B2" i="75" l="1"/>
  <c r="I17" i="86"/>
  <c r="D12" i="6" l="1"/>
  <c r="G16" i="43"/>
  <c r="G27" i="43"/>
  <c r="A29" i="75" l="1"/>
  <c r="B17" i="75"/>
  <c r="E17" i="86"/>
  <c r="A2" i="76" l="1"/>
  <c r="B2" i="76" s="1"/>
  <c r="B29" i="75"/>
  <c r="J18" i="45"/>
  <c r="I16" i="86" l="1"/>
  <c r="I23" i="86" s="1"/>
  <c r="H23" i="86"/>
  <c r="C43" i="21"/>
  <c r="C52" i="21" s="1"/>
  <c r="E46" i="14"/>
  <c r="E43" i="21"/>
  <c r="E52" i="21" s="1"/>
  <c r="C46" i="14" l="1"/>
  <c r="E16" i="86"/>
  <c r="E23" i="86" s="1"/>
  <c r="D23" i="86"/>
  <c r="F7" i="6" l="1"/>
  <c r="F17" i="6" s="1"/>
  <c r="D7" i="6" l="1"/>
  <c r="D17" i="6" l="1"/>
  <c r="C13" i="42" l="1"/>
  <c r="F19" i="45"/>
  <c r="H19" i="45"/>
  <c r="D19" i="45" l="1"/>
  <c r="G19" i="47"/>
  <c r="G19" i="45"/>
  <c r="E19" i="45"/>
  <c r="C19" i="45" l="1"/>
  <c r="C39" i="36"/>
  <c r="I19" i="45"/>
  <c r="J16" i="45" l="1"/>
  <c r="J19" i="45" s="1"/>
  <c r="G37" i="7"/>
  <c r="E37" i="7" l="1"/>
  <c r="C14" i="15" l="1"/>
  <c r="C16" i="15" s="1"/>
  <c r="D40" i="12"/>
  <c r="J16" i="76" l="1"/>
  <c r="J18" i="76" l="1"/>
  <c r="G29" i="7" l="1"/>
  <c r="E29" i="7"/>
  <c r="D19" i="6" l="1"/>
  <c r="E25" i="39"/>
  <c r="C15" i="39" s="1"/>
  <c r="C17" i="39" s="1"/>
  <c r="F19" i="6"/>
  <c r="H12" i="77" l="1"/>
  <c r="C25" i="39"/>
  <c r="D38" i="6"/>
  <c r="D51" i="6" s="1"/>
  <c r="G20" i="80"/>
  <c r="I20" i="80"/>
  <c r="J20" i="80"/>
  <c r="F20" i="80"/>
  <c r="E20" i="80"/>
  <c r="H20" i="80"/>
  <c r="H42" i="77" l="1"/>
  <c r="C56" i="77"/>
  <c r="C5" i="77" s="1"/>
  <c r="C26" i="77" s="1"/>
  <c r="G24" i="75"/>
  <c r="G27" i="75" s="1"/>
  <c r="G9" i="80"/>
  <c r="F9" i="80"/>
  <c r="I9" i="80"/>
  <c r="H9" i="80"/>
  <c r="J9" i="80"/>
  <c r="D35" i="10" l="1"/>
  <c r="D34" i="6"/>
  <c r="C20" i="80"/>
  <c r="F34" i="6"/>
  <c r="E9" i="80"/>
  <c r="F19" i="10" l="1"/>
  <c r="F52" i="10" s="1"/>
  <c r="F59" i="10" s="1"/>
  <c r="D53" i="10" s="1"/>
  <c r="D55" i="10" s="1"/>
  <c r="C9" i="80" l="1"/>
  <c r="G21" i="7"/>
  <c r="D19" i="10"/>
  <c r="D52" i="10" s="1"/>
  <c r="D59" i="10" s="1"/>
  <c r="E21" i="7"/>
  <c r="D20" i="80" l="1"/>
  <c r="K20" i="80" s="1"/>
  <c r="K16" i="80"/>
  <c r="H37" i="77"/>
  <c r="H56" i="77" s="1"/>
  <c r="G56" i="77"/>
  <c r="G5" i="77" s="1"/>
  <c r="H5" i="77" s="1"/>
  <c r="H7" i="77" l="1"/>
  <c r="H26" i="77" s="1"/>
  <c r="G26" i="77"/>
  <c r="K16" i="76"/>
  <c r="K18" i="76" s="1"/>
  <c r="F36" i="75"/>
  <c r="G13" i="7"/>
  <c r="G30" i="7" s="1"/>
  <c r="G38" i="7" s="1"/>
  <c r="G47" i="7" l="1"/>
  <c r="D9" i="80" l="1"/>
  <c r="K9" i="80" s="1"/>
  <c r="K5" i="80"/>
  <c r="E47" i="7"/>
  <c r="E13" i="7"/>
  <c r="E30" i="7" s="1"/>
  <c r="E38" i="7" s="1"/>
  <c r="D46" i="45" l="1"/>
  <c r="E46" i="45"/>
</calcChain>
</file>

<file path=xl/sharedStrings.xml><?xml version="1.0" encoding="utf-8"?>
<sst xmlns="http://schemas.openxmlformats.org/spreadsheetml/2006/main" count="3410" uniqueCount="1785">
  <si>
    <t>Provider accounts template - single entity accounts</t>
  </si>
  <si>
    <t>Background to this accounts template</t>
  </si>
  <si>
    <t>Trust and Group template versions</t>
  </si>
  <si>
    <t>Many trusts prepare group accounts, as they consolidate an NHS charitable fund or other subsidiaries. Many other trusts do not prepare group accounts. As such there are two versions of this template:</t>
  </si>
  <si>
    <r>
      <rPr>
        <b/>
        <sz val="11"/>
        <color theme="1"/>
        <rFont val="Calibri"/>
        <family val="2"/>
        <scheme val="minor"/>
      </rPr>
      <t>Trust accounts</t>
    </r>
    <r>
      <rPr>
        <sz val="11"/>
        <color theme="1"/>
        <rFont val="Calibri"/>
        <family val="2"/>
        <scheme val="minor"/>
      </rPr>
      <t>: This is a single entity version of the accounts template, with the figures linked to the totals in the TAC schedules.</t>
    </r>
  </si>
  <si>
    <r>
      <rPr>
        <b/>
        <sz val="11"/>
        <color theme="1"/>
        <rFont val="Calibri"/>
        <family val="2"/>
        <scheme val="minor"/>
      </rPr>
      <t>Group accounts</t>
    </r>
    <r>
      <rPr>
        <sz val="11"/>
        <color theme="1"/>
        <rFont val="Calibri"/>
        <family val="2"/>
        <scheme val="minor"/>
      </rPr>
      <t>: This version should be used by trusts preparing group accounts. The Group numbers are linked to the total column of the TAC schedules. The Trust numbers are not populated and you can link these either to your own working papers. For those who consolidate a charity but no other subsidiaries, the 'Group without charity' columns in the TAC schedules will provide the 'Trust' numbers you can link to if you wish. Alternatively you may have your own working papers for the consolidation and replace the source formulas for both the Group and Trust numbers.</t>
    </r>
  </si>
  <si>
    <t>Except for the presence of separate Group and Trust columns/tables in the first version, the two versions are the same.</t>
  </si>
  <si>
    <t>How to use this accounts template</t>
  </si>
  <si>
    <t>This accounts template is designed to be easy to work with in Microsoft Excel, but is also formatted in such a way that when printed, the end result is a presentable set of accounts. Different local printers will change how page margins work and some editing of column widths in particular may be required to achieve the right formatting for printing for each user.</t>
  </si>
  <si>
    <t>Step 1: Link the accounts template to your PFR file</t>
  </si>
  <si>
    <t>As a starting point you should update the information on the Settings sheet. Then, you need to change the source file for the links as follows:</t>
  </si>
  <si>
    <t>1.</t>
  </si>
  <si>
    <t>Select the 'Data' tab on the ribbon at the top of Excel (if this tab is not visible it may need to be added by customising the ribbon in excel options)</t>
  </si>
  <si>
    <t>2.</t>
  </si>
  <si>
    <t>3.</t>
  </si>
  <si>
    <t>4.</t>
  </si>
  <si>
    <t>Navigate to your locally saved PFR file and select.</t>
  </si>
  <si>
    <t>5.</t>
  </si>
  <si>
    <t>All links within this workbook should now be redirected to your local file.  Due to the number of links this may take some time.  Please be patient and do not attempt to perform other tasks in excel at the same time.</t>
  </si>
  <si>
    <t>Step 2: Check that the PFR linking is working and the accounts hold together</t>
  </si>
  <si>
    <t>In preparing this accounts template we have linked cells to the TAC schedules but you should verify that these are correct, and that nothing has been affected by changing the link to your PFR file.</t>
  </si>
  <si>
    <t>There are no validation checks within this accounts template, so at this point we recommend you review the document for reasonableness (not presentation at this stage) - checking that note totals agree between the TAC schedules and accounts, checking that primary statements are accurate, and so forth.</t>
  </si>
  <si>
    <t>Step 3: Tailor the document to become your accounts</t>
  </si>
  <si>
    <t>Tailoring the document may involve some or all of the following:</t>
  </si>
  <si>
    <t>◦ aggregating rows or columns within disclosure notes - care then needs to be taken to update the PFR mapping</t>
  </si>
  <si>
    <t>◦ hiding /deleting unnecessary columns or rows - for example unused categories of intangible asset. Care then needs to be taken to ensure that total formulae still work and column widths for row descriptions may need to be changed to ensure tables are right aligned on the page when printed.</t>
  </si>
  <si>
    <t>◦ hiding /deleting whole notes or sheets in some cases - then need to check that the primary statements are unaffected and update note numbering.  Please read Step 4 below in relation to note numbering.</t>
  </si>
  <si>
    <t>◦ tailoring existing notes where manual inputs/updates are required:</t>
  </si>
  <si>
    <r>
      <t xml:space="preserve">[Red text in square brackets indicates instructions and guidance which should be reviewed / addressed and then deleted]
</t>
    </r>
    <r>
      <rPr>
        <sz val="11"/>
        <color rgb="FF0070C0"/>
        <rFont val="Calibri"/>
        <family val="2"/>
        <scheme val="minor"/>
      </rPr>
      <t>Blue text (within the New Standards tab only) represents example disclosures which may be used by the provider if relevant.</t>
    </r>
  </si>
  <si>
    <t>◦ adding in extra notes</t>
  </si>
  <si>
    <r>
      <t xml:space="preserve">[Red text in square brackets indicates instructions and guidance which should be reviewed / addressed and then deleted]
</t>
    </r>
    <r>
      <rPr>
        <sz val="11"/>
        <color rgb="FF0070C0"/>
        <rFont val="Calibri"/>
        <family val="2"/>
        <scheme val="minor"/>
      </rPr>
      <t>Blue text represents example accounting policies which will only be needed if particular circumstances apply materially to the Trust.</t>
    </r>
  </si>
  <si>
    <t>Step 4: Presentation</t>
  </si>
  <si>
    <t>Note numbers for each note use hidden text in column A to compute the note number adding on from the last note. Where you have added or deleted a note, this formula will need updating in the subsequent note, but then all subsequent notes will renumber. Note references on the primary statements are linked to the hidden numbers in column A so should update automatically when notes are updated. Note references within the example accounting policies are highlighted as red text and these should be updated locally.</t>
  </si>
  <si>
    <t>In Print Preview mode, you can see how the accounts template will look when printed. Each worksheet (tab) of the file should be checked individually for print preview. If necessary, adjust the column widths on a tab to improve how the document fits on a page. Add/amend page breaks within a tab if necessary (most easily done from page break view).</t>
  </si>
  <si>
    <t>The trust may wish to add the page number as a footer. Follow the instructions above for adding a footer. As the accounts follow the annual report, you may not wish to start the accounts page number at 1. In order to change this firstly click on the first tab you want to have a page number, select the Page Layout tab from the ribbon &gt; in the page setup section select the small arrow in the bottom right hand corner &gt; a pop up box will appear, on the Page tab change the last option 'First page number' to whatever page number you want &gt; click 'ok'. All subsequent tabs will follow this page numbering system.</t>
  </si>
  <si>
    <t>Select the 'Data' tab on the ribbon at the top of excel (if this tab is not visible it may need to be added by customising the ribbon in excel options)</t>
  </si>
  <si>
    <t>Feedback and comments</t>
  </si>
  <si>
    <t>Your comments on this tool are very welcome. In future years we would like to explore adding additional functionality to the tool: please get in touch if you have any comments.</t>
  </si>
  <si>
    <t>Inputs</t>
  </si>
  <si>
    <t>MARSID</t>
  </si>
  <si>
    <t>Please select your MARSID</t>
  </si>
  <si>
    <t>Name of provider</t>
  </si>
  <si>
    <t>Provider status</t>
  </si>
  <si>
    <t>Date of year end (dd/mm/yyyy)</t>
  </si>
  <si>
    <t>Start of current year (dd/mm/yyyy)</t>
  </si>
  <si>
    <t>For new FTs, enter date of authorisation (i.e. opening balance sheet date)</t>
  </si>
  <si>
    <t>Comparative year end  (dd/mm/yyyy)</t>
  </si>
  <si>
    <t>Start of comparative year (dd/mm/yyyy)</t>
  </si>
  <si>
    <t>Year for financial reporting (20XX/YY)</t>
  </si>
  <si>
    <t>Year for comparative year (20XX/YY)</t>
  </si>
  <si>
    <t>Year for year end (20XX)</t>
  </si>
  <si>
    <t>Year for comparative year (20XX)</t>
  </si>
  <si>
    <t>For new FTs, enter calendar year of your authorisation</t>
  </si>
  <si>
    <t>Opening Year (20XX)</t>
  </si>
  <si>
    <t>Next financial year (20XX/YY)</t>
  </si>
  <si>
    <t>Date of approval of financial statements (dd/mm/yyyy)</t>
  </si>
  <si>
    <t>FT name</t>
  </si>
  <si>
    <t>Type</t>
  </si>
  <si>
    <t>No trust selected</t>
  </si>
  <si>
    <t>FT</t>
  </si>
  <si>
    <t>AINTREE</t>
  </si>
  <si>
    <t>Liverpool University Hospitals NHS Foundation Trust</t>
  </si>
  <si>
    <t>AIREDALE</t>
  </si>
  <si>
    <t>Airedale NHS Foundation Trust</t>
  </si>
  <si>
    <t>ALDERHEY</t>
  </si>
  <si>
    <t>Alder Hey Children's NHS Foundation Trust</t>
  </si>
  <si>
    <t>ASHFORD</t>
  </si>
  <si>
    <t>Ashford and St Peter's Hospitals NHS Foundation Trust</t>
  </si>
  <si>
    <t>AVONHEALTH</t>
  </si>
  <si>
    <t>Avon and Wiltshire Mental Health Partnership NHS Trust</t>
  </si>
  <si>
    <t>TR</t>
  </si>
  <si>
    <t>BARKING</t>
  </si>
  <si>
    <t>Barking, Havering and Redbridge University Hospitals NHS Trust</t>
  </si>
  <si>
    <t>BARNET</t>
  </si>
  <si>
    <t>Barnet, Enfield And Haringey Mental Health NHS Trust</t>
  </si>
  <si>
    <t>BARNSLEY</t>
  </si>
  <si>
    <t>Barnsley Hospital NHS Foundation Trust</t>
  </si>
  <si>
    <t>BARTS</t>
  </si>
  <si>
    <t>Barts Health NHS Trust</t>
  </si>
  <si>
    <t>BASINGSTOKE</t>
  </si>
  <si>
    <t>Hampshire Hospitals NHS Foundation Trust</t>
  </si>
  <si>
    <t>BCH</t>
  </si>
  <si>
    <t>Birmingham Women's and Children's NHS Foundation Trust</t>
  </si>
  <si>
    <t>BERKSHIREHEALTH</t>
  </si>
  <si>
    <t>Berkshire Healthcare NHS Foundation Trust</t>
  </si>
  <si>
    <t>BIRMCOMM</t>
  </si>
  <si>
    <t>Birmingham Community Healthcare NHS Foundation Trust</t>
  </si>
  <si>
    <t>BIRMSOLIHULL</t>
  </si>
  <si>
    <t>Birmingham and Solihull Mental Health NHS Foundation Trust</t>
  </si>
  <si>
    <t>BLACKPOOL</t>
  </si>
  <si>
    <t>Blackpool Teaching Hospitals NHS Foundation Trust</t>
  </si>
  <si>
    <t>BOLTON</t>
  </si>
  <si>
    <t>Bolton NHS Foundation Trust</t>
  </si>
  <si>
    <t>BRADFORD</t>
  </si>
  <si>
    <t>Bradford Teaching Hospitals NHS Foundation Trust</t>
  </si>
  <si>
    <t>BRADFORDCARE</t>
  </si>
  <si>
    <t>Bradford District Care NHS Foundation Trust</t>
  </si>
  <si>
    <t>BRIDGEWATER</t>
  </si>
  <si>
    <t>Bridgewater Community Healthcare NHS Foundation Trust</t>
  </si>
  <si>
    <t>BRISTOL</t>
  </si>
  <si>
    <t>University Hospitals Bristol and Weston NHS Foundation Trust</t>
  </si>
  <si>
    <t>BUCKSHEALTH</t>
  </si>
  <si>
    <t>Buckinghamshire Healthcare NHS Trust</t>
  </si>
  <si>
    <t>CALDERDALE</t>
  </si>
  <si>
    <t>CAMBCOMM</t>
  </si>
  <si>
    <t>Cambridgeshire Community Services NHS Trust</t>
  </si>
  <si>
    <t>CAMBPETER</t>
  </si>
  <si>
    <t>Cambridgeshire and Peterborough NHS Foundation Trust</t>
  </si>
  <si>
    <t>CAMBRIDGE</t>
  </si>
  <si>
    <t>Cambridge University Hospitals NHS Foundation Trust</t>
  </si>
  <si>
    <t>CHELSEA</t>
  </si>
  <si>
    <t>CHESTER</t>
  </si>
  <si>
    <t>Countess of Chester Hospital NHS Foundation Trust</t>
  </si>
  <si>
    <t>CHESTERFIELD</t>
  </si>
  <si>
    <t>Chesterfield Royal Hospital NHS Foundation Trust</t>
  </si>
  <si>
    <t>CHRISTIE</t>
  </si>
  <si>
    <t>The Christie NHS Foundation Trust</t>
  </si>
  <si>
    <t>CLATTERBRIDGE</t>
  </si>
  <si>
    <t>The Clatterbridge Cancer Centre NHS Foundation Trust</t>
  </si>
  <si>
    <t>CLONDONCOMM</t>
  </si>
  <si>
    <t>Central London Community Healthcare NHS Trust</t>
  </si>
  <si>
    <t>CNWL</t>
  </si>
  <si>
    <t>Central and North West London NHS Foundation Trust</t>
  </si>
  <si>
    <t>COLCHESTER</t>
  </si>
  <si>
    <t>East Suffolk and North Essex NHS Foundation Trust</t>
  </si>
  <si>
    <t>CORNWALLPART</t>
  </si>
  <si>
    <t>Cornwall Partnership NHS Foundation Trust</t>
  </si>
  <si>
    <t>COVENTRY</t>
  </si>
  <si>
    <t>University Hospitals Coventry And Warwickshire NHS Trust</t>
  </si>
  <si>
    <t>COVENTRYPART</t>
  </si>
  <si>
    <t>Coventry and Warwickshire Partnership NHS Trust</t>
  </si>
  <si>
    <t>CROYDON</t>
  </si>
  <si>
    <t>Croydon Health Services NHS Trust</t>
  </si>
  <si>
    <t>CUMBRIAPART</t>
  </si>
  <si>
    <t>North Cumbria Integrated Care NHS Foundation Trust</t>
  </si>
  <si>
    <t>CWPART</t>
  </si>
  <si>
    <t>Cheshire and Wirral Partnership NHS Foundation Trust</t>
  </si>
  <si>
    <t>DARLINGTON</t>
  </si>
  <si>
    <t>County Durham and Darlington NHS Foundation Trust</t>
  </si>
  <si>
    <t>DARTFORD</t>
  </si>
  <si>
    <t>Dartford and Gravesham NHS Trust</t>
  </si>
  <si>
    <t>DERBY</t>
  </si>
  <si>
    <t>University Hospitals of Derby and Burton NHS Foundation Trust</t>
  </si>
  <si>
    <t>DERBYSHIRECOMMUNITY</t>
  </si>
  <si>
    <t>Derbyshire Community Health Services NHS Foundation Trust</t>
  </si>
  <si>
    <t>DERBYSHIREHEALTH</t>
  </si>
  <si>
    <t>Derbyshire Healthcare NHS Foundation Trust</t>
  </si>
  <si>
    <t>DEVONPART</t>
  </si>
  <si>
    <t>Devon Partnership NHS Trust</t>
  </si>
  <si>
    <t>DONCASTER</t>
  </si>
  <si>
    <t>DORSET</t>
  </si>
  <si>
    <t>University Hospitals Dorset NHS Foundation Trust</t>
  </si>
  <si>
    <t>DORSETCOUNTY</t>
  </si>
  <si>
    <t>Dorset County Hospital NHS Foundation Trust</t>
  </si>
  <si>
    <t>DORSETHEALTH</t>
  </si>
  <si>
    <t>Dorset Healthcare University NHS Foundation Trust</t>
  </si>
  <si>
    <t>DUDLEY</t>
  </si>
  <si>
    <t>The Dudley Group NHS Foundation Trust</t>
  </si>
  <si>
    <t>DUDLEYHEALTH</t>
  </si>
  <si>
    <t>Dudley Integrated Health and Care NHS Trust</t>
  </si>
  <si>
    <t>EASTCHESHIRE</t>
  </si>
  <si>
    <t>East Cheshire NHS Trust</t>
  </si>
  <si>
    <t>EASTENGLANDAMB</t>
  </si>
  <si>
    <t>East of England Ambulance Service NHS Trust</t>
  </si>
  <si>
    <t>EASTKENT</t>
  </si>
  <si>
    <t>East Kent Hospitals University NHS Foundation Trust</t>
  </si>
  <si>
    <t>EASTLANCS</t>
  </si>
  <si>
    <t>East Lancashire Hospitals NHS Trust</t>
  </si>
  <si>
    <t>EASTLONDON</t>
  </si>
  <si>
    <t>East London NHS Foundation Trust</t>
  </si>
  <si>
    <t>EASTMIDLANDSAMB</t>
  </si>
  <si>
    <t>East Midlands Ambulance Service NHS Trust</t>
  </si>
  <si>
    <t>EASTSUSSEX</t>
  </si>
  <si>
    <t>East Sussex Healthcare NHS Trust</t>
  </si>
  <si>
    <t>ENHERTS</t>
  </si>
  <si>
    <t>East And North Hertfordshire NHS Trust</t>
  </si>
  <si>
    <t>EPSOM</t>
  </si>
  <si>
    <t>Epsom and St Helier University Hospitals NHS Trust</t>
  </si>
  <si>
    <t>ESSEXPART</t>
  </si>
  <si>
    <t>Essex Partnership University NHS Foundation Trust</t>
  </si>
  <si>
    <t>FRIMLEY</t>
  </si>
  <si>
    <t>Frimley Health NHS Foundation Trust</t>
  </si>
  <si>
    <t>GATESHEAD</t>
  </si>
  <si>
    <t>Gateshead Health NHS Foundation Trust</t>
  </si>
  <si>
    <t>GEORGEELIOT</t>
  </si>
  <si>
    <t>George Eliot Hospital NHS Trust</t>
  </si>
  <si>
    <t>GLOSPART</t>
  </si>
  <si>
    <t>Gloucestershire Health and Care NHS Foundation Trust</t>
  </si>
  <si>
    <t>GLOUCESTER</t>
  </si>
  <si>
    <t>Gloucestershire Hospitals NHS Foundation Trust</t>
  </si>
  <si>
    <t>GMWEST</t>
  </si>
  <si>
    <t>Greater Manchester Mental Health NHS Foundation Trust</t>
  </si>
  <si>
    <t>GOSH</t>
  </si>
  <si>
    <t>Great Ormond Street Hospital for Children NHS Foundation Trust</t>
  </si>
  <si>
    <t>GUYS</t>
  </si>
  <si>
    <t>GWSWINDON</t>
  </si>
  <si>
    <t>Great Western Hospitals NHS Foundation Trust</t>
  </si>
  <si>
    <t>HANTSPART</t>
  </si>
  <si>
    <t>HARROGATE</t>
  </si>
  <si>
    <t>Harrogate and District NHS Foundation Trust</t>
  </si>
  <si>
    <t>HERTSCOMM</t>
  </si>
  <si>
    <t>Hertfordshire Community NHS Trust</t>
  </si>
  <si>
    <t>HERTSPART</t>
  </si>
  <si>
    <t>Hertfordshire Partnership University NHS Foundation Trust</t>
  </si>
  <si>
    <t>HILLINGDON</t>
  </si>
  <si>
    <t>The Hillingdon Hospitals NHS Foundation Trust</t>
  </si>
  <si>
    <t>HOMERTON</t>
  </si>
  <si>
    <t>HOUNSLOWCOMM</t>
  </si>
  <si>
    <t>Hounslow and Richmond Community Healthcare NHS Trust</t>
  </si>
  <si>
    <t>HULL</t>
  </si>
  <si>
    <t>Hull University Teaching Hospitals NHS Trust</t>
  </si>
  <si>
    <t>HUMBER</t>
  </si>
  <si>
    <t>Humber Teaching NHS Foundation Trust</t>
  </si>
  <si>
    <t>IMPERIAL</t>
  </si>
  <si>
    <t>Imperial College Healthcare NHS Trust</t>
  </si>
  <si>
    <t>ISLEOFWIGHT</t>
  </si>
  <si>
    <t>Isle of Wight NHS Trust</t>
  </si>
  <si>
    <t>JAMESPAGET</t>
  </si>
  <si>
    <t>James Paget University Hospitals NHS Foundation Trust</t>
  </si>
  <si>
    <t>KENTCOMM</t>
  </si>
  <si>
    <t>Kent Community Health NHS Foundation Trust</t>
  </si>
  <si>
    <t>KENTMEDWAY</t>
  </si>
  <si>
    <t>Kent and Medway NHS and Social Care Partnership Trust</t>
  </si>
  <si>
    <t>KETTERING</t>
  </si>
  <si>
    <t>Kettering General Hospital NHS Foundation Trust</t>
  </si>
  <si>
    <t>KINGS</t>
  </si>
  <si>
    <t>KINGSLYNN</t>
  </si>
  <si>
    <t>KINGSTON</t>
  </si>
  <si>
    <t>LANCASHIRECARE</t>
  </si>
  <si>
    <t>Lancashire and South Cumbria NHS Foundation Trust</t>
  </si>
  <si>
    <t>LANCSTEACH</t>
  </si>
  <si>
    <t>Lancashire Teaching Hospitals NHS Foundation Trust</t>
  </si>
  <si>
    <t>LEEDS</t>
  </si>
  <si>
    <t>Leeds and York Partnership NHS Foundation Trust</t>
  </si>
  <si>
    <t>LEEDSCOMM</t>
  </si>
  <si>
    <t>Leeds Community Healthcare NHS Trust</t>
  </si>
  <si>
    <t>LEEDSTEACH</t>
  </si>
  <si>
    <t>LEICESTER</t>
  </si>
  <si>
    <t>University Hospitals of Leicester NHS Trust</t>
  </si>
  <si>
    <t>LEICESTERPART</t>
  </si>
  <si>
    <t>Leicestershire Partnership NHS Trust</t>
  </si>
  <si>
    <t>LEWISHAM</t>
  </si>
  <si>
    <t>Lewisham and Greenwich NHS Trust</t>
  </si>
  <si>
    <t>LINCSCOMM</t>
  </si>
  <si>
    <t>Lincolnshire Community Health Services NHS Trust</t>
  </si>
  <si>
    <t>LINCSPART</t>
  </si>
  <si>
    <t>Lincolnshire Partnership NHS Foundation Trust</t>
  </si>
  <si>
    <t>LIVERPOOLHEART</t>
  </si>
  <si>
    <t>Liverpool Heart and Chest Hospital NHS Foundation Trust</t>
  </si>
  <si>
    <t>LIVERPOOLWOMEN</t>
  </si>
  <si>
    <t>Liverpool Women's NHS Foundation Trust</t>
  </si>
  <si>
    <t>LONDONAMB</t>
  </si>
  <si>
    <t>London Ambulance Service NHS Trust</t>
  </si>
  <si>
    <t>LUTON</t>
  </si>
  <si>
    <t>Bedfordshire Hospitals NHS Foundation Trust</t>
  </si>
  <si>
    <t>MAIDSTONE</t>
  </si>
  <si>
    <t>MANUNI</t>
  </si>
  <si>
    <t>Manchester University NHS Foundation Trust</t>
  </si>
  <si>
    <t>MEDWAY</t>
  </si>
  <si>
    <t>Medway NHS Foundation Trust</t>
  </si>
  <si>
    <t>MERSEYCARE</t>
  </si>
  <si>
    <t>MIDCHESHIRE</t>
  </si>
  <si>
    <t>Mid Cheshire Hospitals NHS Foundation Trust</t>
  </si>
  <si>
    <t>MIDYORKS</t>
  </si>
  <si>
    <t>MILTONKEYNES</t>
  </si>
  <si>
    <t>Milton Keynes University Hospital NHS Foundation Trust</t>
  </si>
  <si>
    <t>MOORFIELDS</t>
  </si>
  <si>
    <t>Moorfields Eye Hospital NHS Foundation Trust</t>
  </si>
  <si>
    <t>MORECAMBEBAY</t>
  </si>
  <si>
    <t>University Hospitals of Morecambe Bay NHS Foundation Trust</t>
  </si>
  <si>
    <t>NELONDON</t>
  </si>
  <si>
    <t>North East London NHS Foundation Trust</t>
  </si>
  <si>
    <t>NEWCASTLE</t>
  </si>
  <si>
    <t>The Newcastle Upon Tyne Hospitals NHS Foundation Trust</t>
  </si>
  <si>
    <t>NLAG</t>
  </si>
  <si>
    <t>Northern Lincolnshire and Goole NHS Foundation Trust</t>
  </si>
  <si>
    <t>NMIDDLESEX</t>
  </si>
  <si>
    <t>North Middlesex University Hospital NHS Trust</t>
  </si>
  <si>
    <t>NORFOLKCOMM</t>
  </si>
  <si>
    <t>Norfolk Community Health and Care NHS Trust</t>
  </si>
  <si>
    <t>NORTHAMPTON</t>
  </si>
  <si>
    <t>Northampton General Hospital NHS Trust</t>
  </si>
  <si>
    <t>NORTHANTSCARE</t>
  </si>
  <si>
    <t>Northamptonshire Healthcare NHS Foundation Trust</t>
  </si>
  <si>
    <t>NORTHBRISTOL</t>
  </si>
  <si>
    <t>North Bristol NHS Trust</t>
  </si>
  <si>
    <t>NORTHEASTAMB</t>
  </si>
  <si>
    <t>North East Ambulance Service NHS Foundation Trust</t>
  </si>
  <si>
    <t>NORTHMIDLANDS</t>
  </si>
  <si>
    <t>University Hospitals of North Midlands NHS Trust</t>
  </si>
  <si>
    <t>NORTHSTAFFS</t>
  </si>
  <si>
    <t>North Staffordshire Combined Healthcare NHS Trust</t>
  </si>
  <si>
    <t>NORTHTEES</t>
  </si>
  <si>
    <t>North Tees and Hartlepool NHS Foundation Trust</t>
  </si>
  <si>
    <t>NORTHUMBERLAND</t>
  </si>
  <si>
    <t>Cumbria, Northumberland, Tyne and Wear NHS Foundation Trust</t>
  </si>
  <si>
    <t>NORTHUMBRIA</t>
  </si>
  <si>
    <t>Northumbria Healthcare NHS Foundation Trust</t>
  </si>
  <si>
    <t>NORWAVE</t>
  </si>
  <si>
    <t>Norfolk and Suffolk NHS Foundation Trust</t>
  </si>
  <si>
    <t>NORWICH</t>
  </si>
  <si>
    <t>Norfolk and Norwich University Hospitals NHS Foundation Trust</t>
  </si>
  <si>
    <t>NOTTINGHAM</t>
  </si>
  <si>
    <t>Nottingham University Hospitals NHS Trust</t>
  </si>
  <si>
    <t>NOTTSHEALTH</t>
  </si>
  <si>
    <t>Nottinghamshire Healthcare NHS Foundation Trust</t>
  </si>
  <si>
    <t>NWESTAMB</t>
  </si>
  <si>
    <t>North West Ambulance Service NHS Trust</t>
  </si>
  <si>
    <t>NWLONDON</t>
  </si>
  <si>
    <t>London North West University Healthcare NHS Trust</t>
  </si>
  <si>
    <t>OXBUCKS</t>
  </si>
  <si>
    <t>Oxford Health NHS Foundation Trust</t>
  </si>
  <si>
    <t>OXFORD</t>
  </si>
  <si>
    <t>Oxford University Hospitals NHS Foundation Trust</t>
  </si>
  <si>
    <t>OXLEAS</t>
  </si>
  <si>
    <t>Oxleas NHS Foundation Trust</t>
  </si>
  <si>
    <t>PAPWORTH</t>
  </si>
  <si>
    <t>Royal Papworth Hospital NHS Foundation Trust</t>
  </si>
  <si>
    <t>PENNINECARE</t>
  </si>
  <si>
    <t>Pennine Care NHS Foundation Trust</t>
  </si>
  <si>
    <t>PETERBOROUGH</t>
  </si>
  <si>
    <t>North West Anglia NHS Foundation Trust</t>
  </si>
  <si>
    <t>PLYMOUTH</t>
  </si>
  <si>
    <t>PORTSMOUTH</t>
  </si>
  <si>
    <t>Portsmouth Hospitals University NHS Trust</t>
  </si>
  <si>
    <t>PRINCESSALEX</t>
  </si>
  <si>
    <t>The Princess Alexandra Hospital NHS Trust</t>
  </si>
  <si>
    <t>QVH</t>
  </si>
  <si>
    <t>Queen Victoria Hospital NHS Foundation Trust</t>
  </si>
  <si>
    <t>RDASH</t>
  </si>
  <si>
    <t>Rotherham Doncaster and South Humber NHS Foundation Trust</t>
  </si>
  <si>
    <t>RDE</t>
  </si>
  <si>
    <t>RJAH</t>
  </si>
  <si>
    <t>The Robert Jones and Agnes Hunt Orthopaedic Hospital NHS Foundation Trust</t>
  </si>
  <si>
    <t>RNOH</t>
  </si>
  <si>
    <t>Royal National Orthopaedic Hospital NHS Trust</t>
  </si>
  <si>
    <t>ROH</t>
  </si>
  <si>
    <t>The Royal Orthopaedic Hospital NHS Foundation Trust</t>
  </si>
  <si>
    <t>ROTHERHAM</t>
  </si>
  <si>
    <t>The Rotherham NHS Foundation Trust</t>
  </si>
  <si>
    <t>ROYALBERKSHIRE</t>
  </si>
  <si>
    <t>Royal Berkshire NHS Foundation Trust</t>
  </si>
  <si>
    <t>ROYALCORNWALL</t>
  </si>
  <si>
    <t>Royal Cornwall Hospitals NHS Trust</t>
  </si>
  <si>
    <t>ROYALFREE</t>
  </si>
  <si>
    <t>Royal Free London NHS Foundation Trust</t>
  </si>
  <si>
    <t>ROYALMARSDEN</t>
  </si>
  <si>
    <t>The Royal Marsden NHS Foundation Trust</t>
  </si>
  <si>
    <t>ROYALSURREY</t>
  </si>
  <si>
    <t>Royal Surrey NHS Foundation Trust</t>
  </si>
  <si>
    <t>RUHBATH</t>
  </si>
  <si>
    <t>Royal United Hospitals Bath NHS Foundation Trust</t>
  </si>
  <si>
    <t>SALFORD</t>
  </si>
  <si>
    <t>SALISBURY</t>
  </si>
  <si>
    <t>Salisbury NHS Foundation Trust</t>
  </si>
  <si>
    <t>SANDWELL</t>
  </si>
  <si>
    <t>Sandwell And West Birmingham Hospitals NHS Trust</t>
  </si>
  <si>
    <t>SANDWELLCARE</t>
  </si>
  <si>
    <t>Black Country Healthcare NHS Foundation Trust</t>
  </si>
  <si>
    <t>SCENTRALAMB</t>
  </si>
  <si>
    <t>South Central Ambulance Service NHS Foundation Trust</t>
  </si>
  <si>
    <t>SECOASTAMB</t>
  </si>
  <si>
    <t>South East Coast Ambulance Service NHS Foundation Trust</t>
  </si>
  <si>
    <t>SHEFFIELDCHILD</t>
  </si>
  <si>
    <t>Sheffield Children's NHS Foundation Trust</t>
  </si>
  <si>
    <t>SHEFFIELDHEALTH</t>
  </si>
  <si>
    <t>Sheffield Health and Social Care NHS Foundation Trust</t>
  </si>
  <si>
    <t>SHEFFIELDTEACH</t>
  </si>
  <si>
    <t>Sheffield Teaching Hospitals NHS Foundation Trust</t>
  </si>
  <si>
    <t>SHERWOOD</t>
  </si>
  <si>
    <t>Sherwood Forest Hospitals NHS Foundation Trust</t>
  </si>
  <si>
    <t>SHREWSBURY</t>
  </si>
  <si>
    <t>SHROPSHIRECOMM</t>
  </si>
  <si>
    <t>Shropshire Community Health NHS Trust</t>
  </si>
  <si>
    <t>SLAM</t>
  </si>
  <si>
    <t>South London and Maudsley NHS Foundation Trust</t>
  </si>
  <si>
    <t>SOLENT</t>
  </si>
  <si>
    <t>Solent NHS Trust</t>
  </si>
  <si>
    <t>SOMERSETPART</t>
  </si>
  <si>
    <t>Somerset NHS Foundation Trust</t>
  </si>
  <si>
    <t>SOUTHAMPTON</t>
  </si>
  <si>
    <t>University Hospital Southampton NHS Foundation Trust</t>
  </si>
  <si>
    <t>SOUTHDEVON</t>
  </si>
  <si>
    <t>Torbay and South Devon NHS Foundation Trust</t>
  </si>
  <si>
    <t>SOUTHEND</t>
  </si>
  <si>
    <t>Mid and South Essex NHS Foundation Trust</t>
  </si>
  <si>
    <t>SOUTHSTAFFS</t>
  </si>
  <si>
    <t>SOUTHTEES</t>
  </si>
  <si>
    <t>South Tees Hospitals NHS Foundation Trust</t>
  </si>
  <si>
    <t>STGEORGES</t>
  </si>
  <si>
    <t>St George's University Hospitals NHS Foundation Trust</t>
  </si>
  <si>
    <t>STHELENS</t>
  </si>
  <si>
    <t>STOCKPORT</t>
  </si>
  <si>
    <t>Stockport NHS Foundation Trust</t>
  </si>
  <si>
    <t>SURREYPART</t>
  </si>
  <si>
    <t>Surrey and Borders Partnership NHS Foundation Trust</t>
  </si>
  <si>
    <t>SURREYSUSSEX</t>
  </si>
  <si>
    <t>SUSSEXCOMM</t>
  </si>
  <si>
    <t>Sussex Community NHS Foundation Trust</t>
  </si>
  <si>
    <t>SUSSEXPART</t>
  </si>
  <si>
    <t>Sussex Partnership NHS Foundation Trust</t>
  </si>
  <si>
    <t>SWARKS</t>
  </si>
  <si>
    <t>SWESTAMB</t>
  </si>
  <si>
    <t>South Western Ambulance Service NHS Foundation Trust</t>
  </si>
  <si>
    <t>SWLONDON</t>
  </si>
  <si>
    <t>South West London and St George's Mental Health NHS Trust</t>
  </si>
  <si>
    <t>SWYORKSPART</t>
  </si>
  <si>
    <t>South West Yorkshire Partnership NHS Foundation Trust</t>
  </si>
  <si>
    <t>TAMESIDE</t>
  </si>
  <si>
    <t>Tameside and Glossop Integrated Care NHS Foundation Trust</t>
  </si>
  <si>
    <t>TAVIPORT</t>
  </si>
  <si>
    <t>Tavistock and Portman NHS Foundation Trust</t>
  </si>
  <si>
    <t>TEWVALLEYS</t>
  </si>
  <si>
    <t>Tees, Esk and Wear Valleys NHS Foundation Trust</t>
  </si>
  <si>
    <t>TYNESIDE</t>
  </si>
  <si>
    <t>South Tyneside and Sunderland NHS Foundation Trust</t>
  </si>
  <si>
    <t>UCLH</t>
  </si>
  <si>
    <t>University College London Hospitals NHS Foundation Trust</t>
  </si>
  <si>
    <t>UHB</t>
  </si>
  <si>
    <t>University Hospitals Birmingham NHS Foundation Trust</t>
  </si>
  <si>
    <t>UNITEDLINCS</t>
  </si>
  <si>
    <t>WALSALL</t>
  </si>
  <si>
    <t>Walsall Healthcare NHS Trust</t>
  </si>
  <si>
    <t>WALTON</t>
  </si>
  <si>
    <t>The Walton Centre NHS Foundation Trust</t>
  </si>
  <si>
    <t>WARRINGTON</t>
  </si>
  <si>
    <t>Warrington and Halton Teaching Hospitals NHS Foundation Trust</t>
  </si>
  <si>
    <t>WESTERNSUSSEX</t>
  </si>
  <si>
    <t>WESTHERTS</t>
  </si>
  <si>
    <t>WESTLONDON</t>
  </si>
  <si>
    <t>West London NHS Trust</t>
  </si>
  <si>
    <t>WESTMIDLANDSAMB</t>
  </si>
  <si>
    <t>West Midlands Ambulance Service University NHS Foundation Trust</t>
  </si>
  <si>
    <t>WESTSUFFOLK</t>
  </si>
  <si>
    <t>West Suffolk NHS Foundation Trust</t>
  </si>
  <si>
    <t>WHITTINGTON</t>
  </si>
  <si>
    <t>WIGAN</t>
  </si>
  <si>
    <t>Wrightington, Wigan and Leigh NHS Foundation Trust</t>
  </si>
  <si>
    <t>WIRRAL</t>
  </si>
  <si>
    <t>Wirral University Teaching Hospital NHS Foundation Trust</t>
  </si>
  <si>
    <t>WIRRALCOMM</t>
  </si>
  <si>
    <t>Wirral Community Health and Care NHS Foundation Trust</t>
  </si>
  <si>
    <t>WOLVERHAMPTON</t>
  </si>
  <si>
    <t>The Royal Wolverhampton NHS Trust</t>
  </si>
  <si>
    <t>WORCESTERSHIRE</t>
  </si>
  <si>
    <t>Worcestershire Acute Hospitals NHS Trust</t>
  </si>
  <si>
    <t>WORCSHEALTH</t>
  </si>
  <si>
    <t>Herefordshire and Worcestershire Health and Care NHS Trust</t>
  </si>
  <si>
    <t>WYEVALLEY</t>
  </si>
  <si>
    <t>Wye Valley NHS Trust</t>
  </si>
  <si>
    <t>YORKHOSPITAL</t>
  </si>
  <si>
    <t>YORKSHIREAMB</t>
  </si>
  <si>
    <t>Yorkshire Ambulance Service NHS Trust</t>
  </si>
  <si>
    <t>[NHS trusts should delete this tab]</t>
  </si>
  <si>
    <t>Foreword to the accounts</t>
  </si>
  <si>
    <t>Signed</t>
  </si>
  <si>
    <t>…………………………………………….</t>
  </si>
  <si>
    <t>Name</t>
  </si>
  <si>
    <t>Job title</t>
  </si>
  <si>
    <t>Date</t>
  </si>
  <si>
    <t>Statement of Comprehensive Income</t>
  </si>
  <si>
    <t>Note</t>
  </si>
  <si>
    <t>£000</t>
  </si>
  <si>
    <t>Operating income from patient care activities</t>
  </si>
  <si>
    <t xml:space="preserve">Other operating income </t>
  </si>
  <si>
    <t xml:space="preserve">Operating expenses </t>
  </si>
  <si>
    <t>Operating surplus/(deficit) from continuing operations</t>
  </si>
  <si>
    <t>Finance income</t>
  </si>
  <si>
    <t>Finance expenses</t>
  </si>
  <si>
    <t>PDC dividends payable</t>
  </si>
  <si>
    <t>Net finance costs</t>
  </si>
  <si>
    <t>Other gains / (losses)</t>
  </si>
  <si>
    <t xml:space="preserve">Share of profit / (losses) of associates / joint arrangements </t>
  </si>
  <si>
    <t>Gains / (losses) arising from transfers by absorption</t>
  </si>
  <si>
    <t>Corporation tax expense</t>
  </si>
  <si>
    <t>Surplus / (deficit) for the year from continuing operations</t>
  </si>
  <si>
    <t>Surplus / (deficit) on discontinued operations and the gain / (loss) on disposal of discontinued operations</t>
  </si>
  <si>
    <t>Surplus / (deficit) for the year</t>
  </si>
  <si>
    <t>Other comprehensive income</t>
  </si>
  <si>
    <t>Will not be reclassified to income and expenditure:</t>
  </si>
  <si>
    <t xml:space="preserve">Impairments </t>
  </si>
  <si>
    <t xml:space="preserve">Revaluations </t>
  </si>
  <si>
    <t>Share of comprehensive income from associates and joint ventures</t>
  </si>
  <si>
    <t>Fair value gains / (losses) on equity instruments designated at fair value through OCI</t>
  </si>
  <si>
    <t>Other recognised gains and losses</t>
  </si>
  <si>
    <t>Remeasurements of the net defined benefit pension scheme liability / asset</t>
  </si>
  <si>
    <t>Other reserve movements</t>
  </si>
  <si>
    <t>May be reclassified to income and expenditure when certain conditions are met:</t>
  </si>
  <si>
    <t>Fair value gains/(losses) on financial assets mandated at fair value through OCI</t>
  </si>
  <si>
    <t>Recycling gains/(losses) on disposal of financial assets mandated at fair value through OCI</t>
  </si>
  <si>
    <t>Foreign exchange gains / (losses) recognised directly in OCI</t>
  </si>
  <si>
    <t>Total comprehensive income / (expense) for the period</t>
  </si>
  <si>
    <t>Optional for NHS trusts</t>
  </si>
  <si>
    <t>Note to preparer - this table is no longer a requirement of the GAM and has never been required for FTs however for NHS Trusts this table will assist in understanding the breakeven duty disclosure</t>
  </si>
  <si>
    <t>Adjusted financial performance (control total basis):</t>
  </si>
  <si>
    <t>Surplus / (deficit) for the period</t>
  </si>
  <si>
    <t>Note to preparer - prior year surplus / deficit here is as per prior year audited accounts. It should not be updated for prior period adjustments. Such adjustments score to current year performance.</t>
  </si>
  <si>
    <t>Remove net impairments not scoring to the Departmental expenditure limit</t>
  </si>
  <si>
    <t>Remove (gains) / losses on transfers by absorption</t>
  </si>
  <si>
    <t>Remove I&amp;E impact of capital grants and donations</t>
  </si>
  <si>
    <t>Prior period adjustments</t>
  </si>
  <si>
    <t>Remove non-cash element of on-SoFP pension costs</t>
  </si>
  <si>
    <t>Adjusted financial performance surplus / (deficit)</t>
  </si>
  <si>
    <t>Statement of Financial Position</t>
  </si>
  <si>
    <t>Non-current assets</t>
  </si>
  <si>
    <t>Intangible assets</t>
  </si>
  <si>
    <t>Property, plant and equipment</t>
  </si>
  <si>
    <t>Investments in associates and joint ventures</t>
  </si>
  <si>
    <t>Other investments / financial assets</t>
  </si>
  <si>
    <t>Receivables</t>
  </si>
  <si>
    <t>Other assets</t>
  </si>
  <si>
    <t>Total non-current assets</t>
  </si>
  <si>
    <t>Current assets</t>
  </si>
  <si>
    <t>Inventories</t>
  </si>
  <si>
    <t xml:space="preserve">Other assets </t>
  </si>
  <si>
    <t>Non-current assets for sale and assets in disposal groups</t>
  </si>
  <si>
    <t>Cash and cash equivalents</t>
  </si>
  <si>
    <t>Total current assets</t>
  </si>
  <si>
    <t>Current liabilities</t>
  </si>
  <si>
    <t>Trade and other payables</t>
  </si>
  <si>
    <t>Borrowings</t>
  </si>
  <si>
    <t>Other financial liabilities</t>
  </si>
  <si>
    <t>Provisions</t>
  </si>
  <si>
    <t>Other liabilities</t>
  </si>
  <si>
    <t>Liabilities in disposal groups</t>
  </si>
  <si>
    <t>Total current liabilities</t>
  </si>
  <si>
    <t>Total assets less current liabilities</t>
  </si>
  <si>
    <t>Non-current liabilities</t>
  </si>
  <si>
    <t>Total non-current liabilities</t>
  </si>
  <si>
    <t>Total assets employed</t>
  </si>
  <si>
    <t xml:space="preserve">Financed by </t>
  </si>
  <si>
    <t>Public dividend capital</t>
  </si>
  <si>
    <t>Revaluation reserve</t>
  </si>
  <si>
    <t>Financial assets reserve</t>
  </si>
  <si>
    <t>Other reserves</t>
  </si>
  <si>
    <t>Merger reserve</t>
  </si>
  <si>
    <t>Income and expenditure reserve</t>
  </si>
  <si>
    <t>Total taxpayers' equity</t>
  </si>
  <si>
    <t xml:space="preserve">Name </t>
  </si>
  <si>
    <t>Position</t>
  </si>
  <si>
    <t>Financial assets  reserve</t>
  </si>
  <si>
    <t>Total</t>
  </si>
  <si>
    <t xml:space="preserve">£000 </t>
  </si>
  <si>
    <t xml:space="preserve">At start of period for new FTs </t>
  </si>
  <si>
    <t>Hide</t>
  </si>
  <si>
    <t>Surplus/(deficit) for the year</t>
  </si>
  <si>
    <t>Transfers by absorption: transfers between reserves</t>
  </si>
  <si>
    <t>Transfer from revaluation reserve to income and expenditure reserve for impairments arising from consumption of economic benefits</t>
  </si>
  <si>
    <t>Other transfers between reserves</t>
  </si>
  <si>
    <t>Impairments</t>
  </si>
  <si>
    <t>Transfer to retained earnings on disposal of assets</t>
  </si>
  <si>
    <t>Fair value gains/(losses) on equity instruments designated at fair value through OCI</t>
  </si>
  <si>
    <t>Foreign exchange gains/(losses) recognised directly through OCI</t>
  </si>
  <si>
    <t>Remeasurements of the defined net benefit pension scheme liability/asset</t>
  </si>
  <si>
    <t>Public dividend capital received</t>
  </si>
  <si>
    <t>Public dividend capital repaid</t>
  </si>
  <si>
    <t>Public dividend capital written off</t>
  </si>
  <si>
    <t>Other movements in public dividend capital in year</t>
  </si>
  <si>
    <t>Prior period adjustment</t>
  </si>
  <si>
    <t>Statement of Cash Flows</t>
  </si>
  <si>
    <t>Note to preparer - hide unused rows on this statement to fit within a single page (then delete this comment)</t>
  </si>
  <si>
    <t>Cash flows from operating activities</t>
  </si>
  <si>
    <t>Operating surplus / (deficit)</t>
  </si>
  <si>
    <t>Non-cash income and expense:</t>
  </si>
  <si>
    <t>Depreciation and amortisation</t>
  </si>
  <si>
    <t>Net impairments</t>
  </si>
  <si>
    <t>Income recognised in respect of capital donations</t>
  </si>
  <si>
    <t>Amortisation of PFI deferred credit</t>
  </si>
  <si>
    <t>Non-cash movements in on-SoFP pension liability</t>
  </si>
  <si>
    <t>(Increase) / decrease in receivables and other assets</t>
  </si>
  <si>
    <t>(Increase) / decrease in inventories</t>
  </si>
  <si>
    <t>Increase / (decrease) in payables and other liabilities</t>
  </si>
  <si>
    <t>Increase / (decrease) in provisions</t>
  </si>
  <si>
    <t>Tax (paid) / received</t>
  </si>
  <si>
    <t>Operating cash flows from discontinued operations</t>
  </si>
  <si>
    <t>Other movements in operating cash flows</t>
  </si>
  <si>
    <t>Net cash flows from / (used in) operating activities</t>
  </si>
  <si>
    <t>Cash flows from investing activities</t>
  </si>
  <si>
    <t>Interest received</t>
  </si>
  <si>
    <t>Purchase and sale of financial assets / investments</t>
  </si>
  <si>
    <t>Purchase of intangible assets</t>
  </si>
  <si>
    <t>Sales of intangible assets</t>
  </si>
  <si>
    <t>Purchase of PPE and investment property</t>
  </si>
  <si>
    <t>Sales of PPE and investment property</t>
  </si>
  <si>
    <t>Receipt of cash donations to purchase assets</t>
  </si>
  <si>
    <t>Prepayment of PFI capital contributions</t>
  </si>
  <si>
    <t>Investing cash flows from discontinued operations</t>
  </si>
  <si>
    <t>Cash from acquisitions / disposals of subsidiaries</t>
  </si>
  <si>
    <t>Net cash flows from / (used in) investing activities</t>
  </si>
  <si>
    <t>Cash flows from financing activities</t>
  </si>
  <si>
    <t>Movement on loans from DHSC</t>
  </si>
  <si>
    <t>Movement on other loans</t>
  </si>
  <si>
    <t>Other capital receipts</t>
  </si>
  <si>
    <t>Capital element of PFI, LIFT and other service concession payments</t>
  </si>
  <si>
    <t>Interest on loans</t>
  </si>
  <si>
    <t>Other interest</t>
  </si>
  <si>
    <t>Interest paid on PFI, LIFT and other service concession obligations</t>
  </si>
  <si>
    <t>PDC dividend (paid) / refunded</t>
  </si>
  <si>
    <t>Financing cash flows of discontinued operations</t>
  </si>
  <si>
    <t>Cash flows from (used in) other financing activities</t>
  </si>
  <si>
    <t>Net cash flows from / (used in) financing activities</t>
  </si>
  <si>
    <t>Increase / (decrease) in cash and cash equivalents</t>
  </si>
  <si>
    <t>Cash and cash equivalents at 1 April - brought forward</t>
  </si>
  <si>
    <t>Cash and cash equivalents at 1 April - restated</t>
  </si>
  <si>
    <t>Cash and cash equivalents at start of period for new FTs</t>
  </si>
  <si>
    <t>Cash and cash equivalents transferred under absorption accounting</t>
  </si>
  <si>
    <t>Unrealised gains / (losses) on foreign exchange</t>
  </si>
  <si>
    <t xml:space="preserve">Cash and cash equivalents at 31 March </t>
  </si>
  <si>
    <t>Notes to the Accounts</t>
  </si>
  <si>
    <t>Note 1 Accounting policies and other information</t>
  </si>
  <si>
    <t>Note 1.1 Basis of preparation</t>
  </si>
  <si>
    <t>[for NHS FTs only:]</t>
  </si>
  <si>
    <t>[for NHS trusts only:]</t>
  </si>
  <si>
    <t>Accounting convention</t>
  </si>
  <si>
    <t>These accounts have been prepared under the historical cost convention modified to account for the revaluation of property, plant and equipment, intangible assets, inventories and certain financial assets and financial liabilities.</t>
  </si>
  <si>
    <t>[Where an NHS provider has or is expected to demise in its current organisational form but its services (and accompanying assets) are transferring to another NHS body, this would not prevent the going concern basis for accounts being adopted, and would also not be a material uncertainty over going concern. This disclosure should cross-reference to the relevant disclosures elsewhere in the annual report and accounts.]</t>
  </si>
  <si>
    <r>
      <rPr>
        <b/>
        <sz val="9"/>
        <color rgb="FF0070C0"/>
        <rFont val="Arial"/>
        <family val="2"/>
      </rPr>
      <t xml:space="preserve">
Associates
</t>
    </r>
    <r>
      <rPr>
        <sz val="9"/>
        <color rgb="FF0070C0"/>
        <rFont val="Arial"/>
        <family val="2"/>
      </rPr>
      <t>Associate entities are those over which the trust has the power to exercise a significant influence. Associate entities are recognised in the trust’s financial statement using the equity method. The investment is initially recognised at cost. It is increased or decreased subsequently to reflect the trust’s share of the entity’s profit or loss or other gains and losses (eg revaluation gains on the entity’s property, plant and equipment) following acquisition. It is also reduced when any distribution, eg, share dividends are received by the trust from the associate.
Associates which are classified as held for sale are measured at the lower of their carrying amount and “fair value less costs to sell”.</t>
    </r>
  </si>
  <si>
    <r>
      <rPr>
        <b/>
        <sz val="9"/>
        <color rgb="FF0070C0"/>
        <rFont val="Arial"/>
        <family val="2"/>
      </rPr>
      <t xml:space="preserve">
Joint ventures
</t>
    </r>
    <r>
      <rPr>
        <sz val="9"/>
        <color rgb="FF0070C0"/>
        <rFont val="Arial"/>
        <family val="2"/>
      </rPr>
      <t>Joint ventures are arrangements in which the trust has joint control with one or more other parties, and where it has the rights to the net assets of the arrangement. Joint ventures are accounted for using the equity method.</t>
    </r>
  </si>
  <si>
    <r>
      <t xml:space="preserve">
</t>
    </r>
    <r>
      <rPr>
        <b/>
        <sz val="9"/>
        <color rgb="FF0070C0"/>
        <rFont val="Arial"/>
        <family val="2"/>
      </rPr>
      <t xml:space="preserve">Joint operations
</t>
    </r>
    <r>
      <rPr>
        <sz val="9"/>
        <color rgb="FF0070C0"/>
        <rFont val="Arial"/>
        <family val="2"/>
      </rPr>
      <t>Joint operations are arrangements in which the trust has joint control with one or more other parties and has the rights to the assets, and obligations for the liabilities, relating to the arrangement. The trust includes within its financial statements its share of the assets, liabilities, income and expenses.</t>
    </r>
  </si>
  <si>
    <t xml:space="preserve">Where income is derived from contracts with customers, it is accounted for under IFRS 15. The GAM expands the definition of a contract to include legislation and regulations which enables an entity to receive cash or another financial asset that is not classified as a tax by the Office of National Statistics (ONS). </t>
  </si>
  <si>
    <t xml:space="preserve">Revenue in respect of goods/services provided is recognised when (or as) performance obligations are satisfied by transferring promised goods/services to the customer and is measured at the amount of the transaction price allocated to those performance obligations. At the year end, the Trust accrues income relating to performance obligations satisfied in that year. Where the Trust’s entitlement to consideration for those goods or services is unconditional a contract receivable will be recognised. Where entitlement to consideration is conditional on a further factor other than the passage of time, a contract asset will be recognised. Where consideration received or receivable relates to a performance obligation that is to be satisfied in a future period, the income is deferred and recognised as a contract liability. </t>
  </si>
  <si>
    <t>[Providers should explain how the timing of satisfaction of performance obligations relates to the typical timing of payment (ie credit terms) and the effect that these factors have on contract balances (IFRS 15 para 117)]</t>
  </si>
  <si>
    <t>Revenue from NHS contracts</t>
  </si>
  <si>
    <t>Revenue from research contracts</t>
  </si>
  <si>
    <t>Where research contracts fall under IFRS 15, revenue is recognised as and when performance obligations are satisfied. For some contracts, it is assessed that the revenue project constitutes one performance obligation over the course of the multi-year contract. In these cases it is assessed that the Trust’s interim performance does not create an asset with alternative use for the Trust, and the Trust has an enforceable right to payment for the performance completed to date. It is therefore considered that the performance obligation is satisfied over time, and the Trust recognises revenue each year over the course of the contract. Some research income alternatively falls within the provisions of IAS 20 for government grants.</t>
  </si>
  <si>
    <t>NHS injury cost recovery scheme</t>
  </si>
  <si>
    <t>The Trust receives income under the NHS injury cost recovery scheme, designed to reclaim the cost of treating injured individuals to whom personal injury compensation has subsequently been paid, for instance by an insurer. The Trust recognises the income when performance obligations are satisfied. In practical terms this means that treatment has been given, it receives notification from the Department of Work and Pension's Compensation Recovery Unit, has completed the NHS2 form and confirmed there are no discrepancies with the treatment. The income is measured at the agreed tariff for the treatments provided to the injured individual, less an allowance for unsuccessful compensation claims and doubtful debts in line with IFRS 9 requirements of measuring expected credit losses over the lifetime of the asset.</t>
  </si>
  <si>
    <t>[Provide further details if other income under IFRS 15 is material]</t>
  </si>
  <si>
    <t>Grants and donations</t>
  </si>
  <si>
    <t>Apprenticeship service income</t>
  </si>
  <si>
    <t>[Provide further details if other sources of income are material]</t>
  </si>
  <si>
    <r>
      <rPr>
        <b/>
        <sz val="9"/>
        <color theme="1"/>
        <rFont val="Arial"/>
        <family val="2"/>
      </rPr>
      <t xml:space="preserve">Short-term employee benefits
</t>
    </r>
    <r>
      <rPr>
        <sz val="9"/>
        <color theme="1"/>
        <rFont val="Arial"/>
        <family val="2"/>
      </rPr>
      <t xml:space="preserve">Salaries, wages and employment-related payments such as social security costs and the apprenticeship levy are recognised in the period in which the service is received from employees. The cost of annual leave entitlement earned but not taken by employees at the end of the period is recognised in the financial statements to the extent that employees are permitted to carry-forward leave into the following period.
</t>
    </r>
  </si>
  <si>
    <r>
      <rPr>
        <b/>
        <sz val="9"/>
        <color theme="1"/>
        <rFont val="Arial"/>
        <family val="2"/>
      </rPr>
      <t xml:space="preserve">Pension costs 
</t>
    </r>
    <r>
      <rPr>
        <sz val="9"/>
        <color theme="1"/>
        <rFont val="Arial"/>
        <family val="2"/>
      </rPr>
      <t xml:space="preserve">
</t>
    </r>
    <r>
      <rPr>
        <i/>
        <sz val="9"/>
        <color theme="1"/>
        <rFont val="Arial"/>
        <family val="2"/>
      </rPr>
      <t xml:space="preserve">NHS Pension Scheme
</t>
    </r>
    <r>
      <rPr>
        <sz val="9"/>
        <color theme="1"/>
        <rFont val="Arial"/>
        <family val="2"/>
      </rPr>
      <t xml:space="preserve">Past and present employees are covered by the provisions of the two NHS Pension Schemes. Both schemes are unfunded, defined benefit schemes that cover NHS employers, general practices and other bodies, allowed under the direction of Secretary of State for Health and Social Care in England and Wales. The scheme is not designed in a way that would enable employers to identify their share of the underlying scheme assets and liabilities. Therefore, the scheme is accounted for as though it is a defined contribution scheme: the cost to the trust is taken as equal to the employer's pension contributions payable to the scheme for the accounting period. The contributions are charged to operating expenses as and when they become due. 
Additional pension liabilities arising from early retirements are not funded by the scheme except where the retirement is due to ill-health. The full amount of the liability for the additional costs is charged to the operating expenses at the time the trust commits itself to the retirement, regardless of the method of payment. </t>
    </r>
  </si>
  <si>
    <r>
      <rPr>
        <i/>
        <sz val="9"/>
        <color rgb="FF0070C0"/>
        <rFont val="Arial"/>
        <family val="2"/>
      </rPr>
      <t xml:space="preserve">[Local Government Pension Scheme
</t>
    </r>
    <r>
      <rPr>
        <sz val="9"/>
        <color rgb="FF0070C0"/>
        <rFont val="Arial"/>
        <family val="2"/>
      </rPr>
      <t xml:space="preserve">
Some employees are members of the Local Government Pension Scheme which is a defined benefit pension scheme. The scheme assets and liabilities attributable to these employees can be identified and are recognised in the trust’s accounts. The assets are measured at fair value, and the liabilities at the present value of future obligations. 
The increase in the liability arising from pensionable service earned during the year is recognised within operating expenses. The net interest cost during the year arising from the unwinding of the discount on the net scheme liabilities is recognised within finance costs. Remeasurements of the defined benefit plan are recognised in the income and expenditure reserve and reported in the Statement of Comprehensive Income as an item of ‘other comprehensive income’.]</t>
    </r>
  </si>
  <si>
    <t xml:space="preserve">Expenditure on goods and services is recognised when, and to the extent that they have been received, and is measured at the fair value of those goods and services. Expenditure is recognised in operating expenses except where it results in the creation of a non-current asset such as property, plant and equipment. </t>
  </si>
  <si>
    <t>Recognition</t>
  </si>
  <si>
    <t>Subsequent expenditure</t>
  </si>
  <si>
    <t>Subsequent expenditure relating to an item of property, plant and equipment is recognised as an increase in the carrying amount of the asset when it is probable that additional future economic benefits or service potential deriving from the cost incurred to replace a component of such item will flow to the enterprise and the cost of the item can be determined reliably. Where a component of an asset is replaced, the cost of the replacement is capitalised if it meets the criteria for recognition above. The carrying amount of the part replaced is de-recognised. Other expenditure that does not generate additional future economic benefits or service potential, such as repairs and maintenance, is charged to the Statement of Comprehensive Income in the period in which it is incurred.</t>
  </si>
  <si>
    <t>Measurement</t>
  </si>
  <si>
    <t>Valuation</t>
  </si>
  <si>
    <t>All property, plant and equipment assets are measured initially at cost, representing the costs directly attributable to acquiring or constructing the asset and bringing it to the location and condition necessary for it to be capable of operating in the manner intended by management.</t>
  </si>
  <si>
    <t>Assets are measured subsequently at valuation. Assets which are held for their service potential and are in use (ie operational assets used to deliver either front line services or back office functions) are measured at their current value in existing use. Assets that were most recently held for their service potential but are surplus with no plan to bring them back into use are measured at fair value where there are no restrictions on sale at the reporting date and where they do not meet the definitions of investment properties or assets held for sale.</t>
  </si>
  <si>
    <t>Revaluations of property, plant and equipment are performed with sufficient regularity to ensure that carrying values are not materially different from those that would be determined at the end of the reporting period. Current values in existing use are determined as follows:</t>
  </si>
  <si>
    <t xml:space="preserve">   •  	Land and non-specialised buildings – market value for existing use</t>
  </si>
  <si>
    <t xml:space="preserve">   •  	Specialised buildings – depreciated replacement cost on a modern equivalent asset basis.</t>
  </si>
  <si>
    <r>
      <rPr>
        <sz val="9"/>
        <rFont val="Arial"/>
        <family val="2"/>
      </rPr>
      <t xml:space="preserve">For specialised assets, current value in existing use is interpreted as the present value of the asset's remaining service potential, which is assumed to be at least equal to the cost of replacing that service potential. Specialised assets are therefore valued at their depreciated replacement cost (DRC) on a modern equivalent asset (MEA) basis. An MEA basis assumes that the asset will be replaced with a modern asset of equivalent capacity and meeting the location requirements of the services being provided. </t>
    </r>
    <r>
      <rPr>
        <sz val="9"/>
        <color rgb="FF0070C0"/>
        <rFont val="Arial"/>
        <family val="2"/>
      </rPr>
      <t>Assets held at depreciated replacement cost have been valued on an alternative site basis where this would meet the location requirements.</t>
    </r>
  </si>
  <si>
    <t xml:space="preserve">IT equipment, transport equipment, furniture and fittings, and plant and machinery that are held for operational use are valued at depreciated historic cost where these assets have short useful lives or low values or both, as this is not considered to be materially different from current value in existing use. </t>
  </si>
  <si>
    <t>[Disclose additional policies where assets are not sufficiently low value and/or do not have sufficiently short lives for depreciated historic cost to be a proxy for current value in existing use]</t>
  </si>
  <si>
    <t>Depreciation</t>
  </si>
  <si>
    <t>Revaluation gains and losses</t>
  </si>
  <si>
    <t>Revaluation gains are recognised in the revaluation reserve, except where, and to the extent that, they reverse a revaluation decrease that has previously been recognised in operating expenses, in which case they are recognised in operating expenditure.
Revaluation losses are charged to the revaluation reserve to the extent that there is an available balance for the asset concerned, and thereafter are charged to operating expenses. 
Gains and losses recognised in the revaluation reserve are reported in the Statement of Comprehensive Income as an item of ‘other comprehensive income’.</t>
  </si>
  <si>
    <t>De-recognition</t>
  </si>
  <si>
    <t>Assets intended for disposal are reclassified as ‘held for sale’ once the criteria in IFRS 5 are met. The sale must be highly probable and the asset available for immediate sale in its present condition.</t>
  </si>
  <si>
    <t>Following reclassification, the assets are measured at the lower of their existing carrying amount and their ‘fair value less costs to sell’.  Depreciation ceases to be charged and the assets are not revalued, except where the 'fair value less costs to sell' falls below the carrying amount. Assets are de-recognised when all material sale contract conditions have been met.
Property, plant and equipment which is to be scrapped or demolished does not qualify for recognition as ‘held for sale’ and instead is retained as an operational asset and the asset’s useful life is adjusted. The asset is de-recognised when scrapping or demolition occurs.</t>
  </si>
  <si>
    <t>Donated and grant funded assets</t>
  </si>
  <si>
    <t xml:space="preserve">
Donated and grant funded property, plant and equipment assets are capitalised at their fair value on receipt. The donation/grant is credited to income at the same time, unless the donor has imposed a condition that the future economic benefits embodied in the grant are to be consumed in a manner specified by the donor, in which case, the donation/grant is deferred within liabilities and is carried forward to future financial years to the extent that the condition has not yet been met.
The donated and grant funded assets are subsequently accounted for in the same manner as other items of property, plant and equipment. </t>
  </si>
  <si>
    <t>Private Finance Initiative (PFI) and Local Improvement Finance Trust (LIFT) transactions</t>
  </si>
  <si>
    <t xml:space="preserve">[Additional policies may be needed, eg if lifecycle replacement is capitalised; or for schemes where all or most of the operator’s income derives from charges to users rather than from payments by the Trust]
</t>
  </si>
  <si>
    <t xml:space="preserve">Useful lives of property, plant and equipment </t>
  </si>
  <si>
    <t>Useful lives reflect the total life of an asset and not the remaining life of an asset. The range of useful lives are shown in the table below:</t>
  </si>
  <si>
    <t>Min life</t>
  </si>
  <si>
    <t>Max life</t>
  </si>
  <si>
    <t>Years</t>
  </si>
  <si>
    <t>Land</t>
  </si>
  <si>
    <t>Buildings, excluding dwellings</t>
  </si>
  <si>
    <t>Dwellings</t>
  </si>
  <si>
    <t>Plant &amp; machinery</t>
  </si>
  <si>
    <t>Transport equipment</t>
  </si>
  <si>
    <t>Information technology</t>
  </si>
  <si>
    <t>Furniture &amp; fittings</t>
  </si>
  <si>
    <r>
      <rPr>
        <i/>
        <sz val="9"/>
        <color theme="1"/>
        <rFont val="Arial"/>
        <family val="2"/>
      </rPr>
      <t xml:space="preserve">Internally generated intangible assets
</t>
    </r>
    <r>
      <rPr>
        <sz val="9"/>
        <color theme="1"/>
        <rFont val="Arial"/>
        <family val="2"/>
      </rPr>
      <t xml:space="preserve">
Internally generated goodwill, brands, mastheads, publishing titles, customer lists and similar items are not capitalised as intangible assets.
Expenditure on research is not capitalised. Expenditure on development is capitalised where it meets the requirements set out in IAS 38.</t>
    </r>
  </si>
  <si>
    <t>Intangible assets are recognised initially at cost, comprising all directly attributable costs needed to create, produce and prepare the asset to the point that it is capable of operating in the manner intended by management.</t>
  </si>
  <si>
    <t>Subsequently intangible assets are measured at current value in existing use. Where no active market exists, intangible assets are valued at the lower of depreciated replacement cost and the value in use where the asset is income generating. Revaluations gains and losses and impairments are treated in the same manner as for property, plant and equipment. An intangible asset which is surplus with no plan to bring it back into use is valued at fair value where there are no restrictions on sale at the reporting date and where they do not meet the definitions of investment properties or assets held for sale.
Intangible assets held for sale are measured at the lower of their carrying amount or fair value less costs to sell.</t>
  </si>
  <si>
    <t>Amortisation</t>
  </si>
  <si>
    <t>Intangible assets are amortised over their expected useful lives in a manner consistent with the consumption of economic or service delivery benefits.</t>
  </si>
  <si>
    <t xml:space="preserve">Useful lives of intangible assets </t>
  </si>
  <si>
    <t xml:space="preserve">
Useful lives reflect the total life of an asset and not the remaining life of an asset.  The range of useful lives are shown in the table below:</t>
  </si>
  <si>
    <t>Development expenditure</t>
  </si>
  <si>
    <t>Websites</t>
  </si>
  <si>
    <t>Software licences</t>
  </si>
  <si>
    <t>Licences &amp; trademarks</t>
  </si>
  <si>
    <t>Patents</t>
  </si>
  <si>
    <t>Other (purchased)</t>
  </si>
  <si>
    <r>
      <t>Inventories are valued at the lower of cost and net realisable value. The cost of inventories is measured using</t>
    </r>
    <r>
      <rPr>
        <sz val="9"/>
        <color rgb="FFFF0000"/>
        <rFont val="Arial"/>
        <family val="2"/>
      </rPr>
      <t xml:space="preserve"> [delete as applicable:] </t>
    </r>
    <r>
      <rPr>
        <sz val="9"/>
        <color rgb="FF0070C0"/>
        <rFont val="Arial"/>
        <family val="2"/>
      </rPr>
      <t>the first in, first out (FIFO) method [or] the weighted average cost method.</t>
    </r>
  </si>
  <si>
    <t>Investment properties are measured at fair value. Changes in fair value are recognised as gains or losses in income/expenditure.
Only those assets which are held solely to generate a commercial return are considered to be investment properties. Where an asset is held, in part, for support service delivery objectives, then it is considered to be an item of property, plant and equipment. Properties occupied by employees, whether or not they pay rent at market rates, are not classified as investment properties.</t>
  </si>
  <si>
    <t>Cash is cash in hand and deposits with any financial institution repayable without penalty on notice of not more than 24 hours. Cash equivalents are investments that mature in 3 months or less from the date of acquisition and that are readily convertible to known amounts of cash with insignificant risk of change in value.
In the Statement of Cash Flows, cash and cash equivalents are shown net of bank overdrafts that are repayable on demand and that form an integral part of the Trust’s cash management. Cash, bank and overdraft balances are recorded at current values.</t>
  </si>
  <si>
    <t>Financial assets and financial liabilities arise where the Trust is party to the contractual provisions of a financial instrument, and as a result has a legal right to receive or a legal obligation to pay cash or another financial instrument. The GAM expands the definition of a contract to include legislation and regulations which give rise to arrangements that in all other respects would be a financial instrument and do not give rise to transactions classified as a tax by ONS.</t>
  </si>
  <si>
    <t>This includes the purchase or sale of non-financial items (such as goods or services), which are entered into in accordance with the Trust’s normal purchase, sale or usage requirements and are recognised when, and to the extent which, performance occurs, ie, when receipt or delivery of the goods or services is made.</t>
  </si>
  <si>
    <t>Classification and measurement</t>
  </si>
  <si>
    <t>Financial assets and financial liabilities at amortised cost</t>
  </si>
  <si>
    <t>After initial recognition, these financial assets and financial liabilities are measured at amortised cost using the effective interest method less any impairment (for financial assets). The effective interest rate is the rate that exactly discounts estimated future cash payments or receipts through the expected life of the financial asset or financial liability to the gross carrying amount of a financial asset or to the amortised cost of a financial liability.</t>
  </si>
  <si>
    <t>Financial assets measured at fair value through other comprehensive income</t>
  </si>
  <si>
    <r>
      <t>A financial asset is measured at fair value through other comprehensive income where business model objectives are met by both collecting contractual cash flows and selling financial assets and where the cash flows are solely payments of principal and interest. Movements in the fair value of financial assets in this category are recognised as gains or losses in other comprehensive income except for impairment losses. On derecognition, cumulative gains and losses previously recognised in other comprehensive income are reclassified from equity to income and expenditure, except where the Trust elected to measure an equity instrument in this category on initial recognition.</t>
    </r>
    <r>
      <rPr>
        <sz val="9"/>
        <color rgb="FFFF0000"/>
        <rFont val="Arial"/>
        <family val="2"/>
      </rPr>
      <t xml:space="preserve"> </t>
    </r>
  </si>
  <si>
    <t xml:space="preserve">[Describe any financial assets mandated as FV through OCI] </t>
  </si>
  <si>
    <r>
      <rPr>
        <sz val="9"/>
        <color rgb="FF0070C0"/>
        <rFont val="Arial"/>
        <family val="2"/>
      </rPr>
      <t>The Trust has irrevocably elected to measure the following equity instruments at fair value through other comprehensive income:</t>
    </r>
    <r>
      <rPr>
        <sz val="9"/>
        <color theme="1"/>
        <rFont val="Arial"/>
        <family val="2"/>
      </rPr>
      <t xml:space="preserve"> </t>
    </r>
    <r>
      <rPr>
        <sz val="9"/>
        <color rgb="FFFF0000"/>
        <rFont val="Arial"/>
        <family val="2"/>
      </rPr>
      <t>[Specify the equity instruments and provide an explanation for this election]</t>
    </r>
  </si>
  <si>
    <t>Financial assets and financial liabilities at fair value through income and expenditure</t>
  </si>
  <si>
    <t xml:space="preserve">Financial assets measured at fair value through profit or loss are those that are not otherwise measured at amortised cost or at fair value through other comprehensive income. This category also includes financial assets and liabilities acquired principally for the purpose of selling in the short term (held for trading) and derivatives. Derivatives which are embedded in other contracts, but which are separable from the host contract are measured within this category. Movements in the fair value of financial assets and liabilities in this category are recognised as gains or losses in the Statement of Comprehensive income. </t>
  </si>
  <si>
    <t>[Describe any financial assets and financial liabilities in this category]</t>
  </si>
  <si>
    <r>
      <rPr>
        <sz val="9"/>
        <color rgb="FF0070C0"/>
        <rFont val="Arial"/>
        <family val="2"/>
      </rPr>
      <t>The Trust has irrevocably elected to measure the following financial assets / financial liabilities at fair value through income and expenditure:</t>
    </r>
    <r>
      <rPr>
        <sz val="9"/>
        <color rgb="FFFF0000"/>
        <rFont val="Arial"/>
        <family val="2"/>
      </rPr>
      <t xml:space="preserve"> [Specify the financial assets or financial liabilities and provide an explanation for this election]</t>
    </r>
  </si>
  <si>
    <t>Impairment of financial assets</t>
  </si>
  <si>
    <t>The Trust adopts the simplified approach to impairment for contract and other receivables, contract assets and lease receivables, measuring expected losses as at an amount equal to lifetime expected losses. For other financial assets, the loss allowance is initially measured at an amount equal to 12-month expected credit losses (stage 1) and subsequently at an amount equal to lifetime expected credit losses if the credit risk assessed for the financial asset significantly increases (stage 2).</t>
  </si>
  <si>
    <t>[Explain how expected credit losses are determined, distinguishing as necessary between different methods used for different classes of financial asset. This may include reference to not normally recognising expected credit losses in relation to other NHS bodies.]</t>
  </si>
  <si>
    <t xml:space="preserve">For financial assets that have become credit impaired since initial recognition (stage 3), expected credit losses at the reporting date are measured as the difference between the asset’s gross carrying amount and the present value of estimated future cash flows discounted at the financial asset’s original effective interest rate. </t>
  </si>
  <si>
    <t>Expected losses are charged to operating expenditure within the Statement of Comprehensive Income and reduce the net carrying value of the financial asset in the Statement of Financial Position.</t>
  </si>
  <si>
    <t>Derecognition</t>
  </si>
  <si>
    <t>Financial assets are de-recognised when the contractual rights to receive cash flows from the assets have expired or the Trust has transferred substantially all the risks and rewards of ownership.</t>
  </si>
  <si>
    <t>Financial liabilities are de-recognised when the obligation is discharged, cancelled or expires.</t>
  </si>
  <si>
    <t>Finance leases</t>
  </si>
  <si>
    <t>Operating leases</t>
  </si>
  <si>
    <t>Nominal rate</t>
  </si>
  <si>
    <t>Short-term</t>
  </si>
  <si>
    <t>Up to 5 years</t>
  </si>
  <si>
    <t>Medium-term</t>
  </si>
  <si>
    <t>After 5 years up to 10 years</t>
  </si>
  <si>
    <t>Long-term</t>
  </si>
  <si>
    <t>Inflation rate</t>
  </si>
  <si>
    <t>Year 1</t>
  </si>
  <si>
    <t>Year 2</t>
  </si>
  <si>
    <t>2.00%</t>
  </si>
  <si>
    <t>Into perpetuity</t>
  </si>
  <si>
    <t>Clinical negligence costs</t>
  </si>
  <si>
    <t>Non-clinical risk pooling</t>
  </si>
  <si>
    <t xml:space="preserve">The trust participates in the Property Expenses Scheme and the Liabilities to Third Parties Scheme. Both are risk pooling schemes under which the trust pays an annual contribution to NHS Resolution and in return receives assistance with the costs of claims arising. The annual membership contributions, and any excesses payable in respect of particular claims are charged to operating expenses when the liability arises. </t>
  </si>
  <si>
    <t>Public dividend capital (PDC) is a type of public sector equity finance based on the excess of assets over liabilities at the time of establishment of the predecessor NHS organisation. HM Treasury has determined that PDC is not a financial instrument within the meaning of IAS 32. 
The Secretary of State can issue new PDC to, and require repayments of PDC from, the trust. PDC is recorded at the value received.
A charge, reflecting the cost of capital utilised by the trust, is payable as public dividend capital dividend. The charge is calculated at the rate set by HM Treasury (currently 3.5%) on the average relevant net assets of the trust during the financial year. Relevant net assets are calculated as the value of all assets less the value of all liabilities, with certain additions and deductions as defined by the Department of Health and Social Care.</t>
  </si>
  <si>
    <t>This policy is available at https://www.gov.uk/government/publications/guidance-on-financing-available-to-nhs-trusts-and-foundation-trusts.</t>
  </si>
  <si>
    <t>In accordance with the requirements laid down by the Department of Health and Social Care (as the issuer of PDC), the dividend for the year is calculated on the actual average relevant net assets as set out in the “pre-audit” version of the annual accounts. The dividend calculated is not revised should any adjustment to net assets occur as a result the audit of the annual accounts.</t>
  </si>
  <si>
    <t>Most of the activities of the trust are outside the scope of VAT and, in general, output tax does not apply and input tax on purchases is not recoverable. Irrecoverable VAT is charged to the relevant expenditure category or included in the capitalised purchase cost of fixed assets. Where output tax is charged or input VAT is recoverable, the amounts are stated net of VAT.</t>
  </si>
  <si>
    <t xml:space="preserve">[This note should disclose:
• the basis of the charge for taxation
• the policy adopted for providing for deferred taxation and
• the policy adopted regarding discounting.
If the trust has determined that it is has no corporation tax liability then the basis for that decision should be disclosed.] </t>
  </si>
  <si>
    <t>Expenditure on the climate change levy is recognised in the Statement of Comprehensive Income as incurred, based on the prevailing chargeable rates for energy consumption.</t>
  </si>
  <si>
    <t>The functional and presentational currency of the trust is sterling.
A transaction which is denominated in a foreign currency is translated into the functional currency at the spot exchange rate on the date of the transaction. 
Where the trust has assets or liabilities denominated in a foreign currency at the Statement of Financial Position date:
• monetary items are translated at the spot exchange rate on 31 March
• non-monetary assets and liabilities measured at historical cost are translated using the spot exchange rate at the date of the transaction and
• non-monetary assets and liabilities measured at fair value are translated using the spot exchange rate at the date the fair value was determined.
Exchange gains or losses on monetary items (arising on settlement of the transaction or on re-translation at the Statement of Financial Position date) are recognised in income or expense in the period in which they arise.
Exchange gains or losses on non-monetary assets and liabilities are recognised in the same manner as other gains and losses on these items.</t>
  </si>
  <si>
    <r>
      <t xml:space="preserve">Assets belonging to third parties in which the Trust has no beneficial interest (such as money held on behalf of patients) are not recognised in the accounts. However, they are disclosed in a separate note to the accounts in accordance with the requirements of HM Treasury’s </t>
    </r>
    <r>
      <rPr>
        <i/>
        <sz val="9"/>
        <color theme="1"/>
        <rFont val="Arial"/>
        <family val="2"/>
      </rPr>
      <t>FReM</t>
    </r>
    <r>
      <rPr>
        <sz val="9"/>
        <color theme="1"/>
        <rFont val="Arial"/>
        <family val="2"/>
      </rPr>
      <t xml:space="preserve">. </t>
    </r>
  </si>
  <si>
    <t>Losses and special payments are items that Parliament would not have contemplated when it agreed funds for the health service or passed legislation. By their nature they are items that ideally should not arise. They are therefore subject to special control procedures compared with the generality of payments. They are divided into different categories, which govern the way that individual cases are handled. Losses and special payments are charged to the relevant functional headings in expenditure on an accruals basis.
The losses and special payments note is compiled directly from the losses and compensations register which reports on an accrual basis with the exception of provisions for future losses.</t>
  </si>
  <si>
    <t>Gifts are items that are voluntarily donated, with no preconditions and without the expectation of any return. Gifts include all transactions economically equivalent to free and unremunerated transfers, such as the loan of an asset for its expected useful life, and the sale or lease of assets at below market value.</t>
  </si>
  <si>
    <r>
      <rPr>
        <sz val="9"/>
        <rFont val="Arial"/>
        <family val="2"/>
      </rPr>
      <t>For functions that have been transferred to the trust from another</t>
    </r>
    <r>
      <rPr>
        <sz val="9"/>
        <color rgb="FF0070C0"/>
        <rFont val="Arial"/>
        <family val="2"/>
      </rPr>
      <t xml:space="preserve"> [NHS / local government] </t>
    </r>
    <r>
      <rPr>
        <sz val="9"/>
        <rFont val="Arial"/>
        <family val="2"/>
      </rPr>
      <t>body, the transaction is accounted for as a transfer by absorption. The assets and liabilities transferred are recognised in the accounts using the book value as at the date of transfer. The assets and liabilities are not adjusted to fair value prior to recognition.</t>
    </r>
    <r>
      <rPr>
        <sz val="9"/>
        <color rgb="FF0070C0"/>
        <rFont val="Arial"/>
        <family val="2"/>
      </rPr>
      <t xml:space="preserve"> [The net [gain / loss] corresponding to the net [assets/ liabilities] transferred is recognised within [income / expenses], but not within operating activities.] </t>
    </r>
  </si>
  <si>
    <t xml:space="preserve">For property, plant and equipment assets and intangible assets, the cost and accumulated depreciation / amortisation balances from the transferring entity’s accounts are preserved on recognition in the trust’s accounts. Where the transferring body recognised revaluation reserve balances attributable to the assets, the trust makes a transfer from its income and expenditure reserve to its revaluation reserve to maintain transparency within public sector accounts. </t>
  </si>
  <si>
    <t>[As required by IAS 8, trusts should disclose any standards, amendments and interpretations that have been issued but are not yet effective or adopted for the public sector and an assessment subsequent application will have on the financial statements.]</t>
  </si>
  <si>
    <t>The following are the judgements, apart from those involving estimations (see below) that management has made in the process of applying the trust accounting policies and that have the most significant effect on the amounts recognised in the financial statements:</t>
  </si>
  <si>
    <t>The following are assumptions about the future and other major sources of estimation uncertainty that have a significant risk of resulting in a material adjustment to the carrying amounts of assets and liabilities within the next financial year:</t>
  </si>
  <si>
    <t>Disclose factors used to identify the reportable segments and the types of products and services from which each reportable segment derives its income.</t>
  </si>
  <si>
    <t>As good practice, trusts may also wish to disclose the 'chief operating decision maker' as defined by the standard, which in most cases is likely to be the Trust Board.</t>
  </si>
  <si>
    <t>A measure of surplus / deficit for each reportable segment should be disclosed, where these are reported locally . In many cases, the measure of surplus / deficit may be operating surplus or EBITDA, however, where included in the reported measure of surplus / deficit for each segment, the following should be disclosed separately:
 - income (or expenditure) from (with) external sources
 - income (or expenditure) from (with) other operating segments
 - interest income
 - interest expense
 - depreciation and amortisation
 - material non-cash items other than depreciation and amortisation
 - other items of income and expense disclosed on the face of the SoCI</t>
  </si>
  <si>
    <t>Where provided to the chief operating decision maker, a measure of assets and liabilities should also be reported by segment. If included in the measure, the following should also be disclosed by segment:
 - investments in associate and joint ventures
 - non-current asset additions</t>
  </si>
  <si>
    <t>Note that should the trust determine that it has only one reportable segment, the relevant measures as provided to the chief operating decision maker should still be disclosed.</t>
  </si>
  <si>
    <t>Reconciliations between the total for all reportable segments and the accounts should be provided for the following:
 - income (or expenditure)
 - surplus / deficit
 - assets (if reportable)
 - liabilities (if reportable)
 - other material items disclosed by segment
Providers should also consider the requirement of IFRS 15 paragraph 115 which requires an entity to disclose sufficient information to enable readers to understand the relationship between income reported for each reportable segment and disclosure of disaggregated contract revenue.</t>
  </si>
  <si>
    <t>The standard also requires an entity to disclose the judgements made by management in applying the aggregation criteria to operating segments, including a description of the operating segments aggregated and the economic indicators assessed in determining whether the operating segments have ‘similar economic characteristics’.]</t>
  </si>
  <si>
    <t>Acute services  [TAILOR NOTE ACCORDING TO SERVICES PROVIDED - further disaggregation may be required in local accounts, IFRS 15 para 114]</t>
  </si>
  <si>
    <t>Other NHS clinical income</t>
  </si>
  <si>
    <t>Mental health services</t>
  </si>
  <si>
    <t>Clinical partnerships providing mandatory services (including S75 agreements)</t>
  </si>
  <si>
    <t>Clinical income for the secondary commissioning of mandatory services</t>
  </si>
  <si>
    <t>Other clinical income from mandatory services</t>
  </si>
  <si>
    <t>Ambulance services</t>
  </si>
  <si>
    <t>A &amp; E income</t>
  </si>
  <si>
    <t>Patient transport services income</t>
  </si>
  <si>
    <t>Other income</t>
  </si>
  <si>
    <t>Community services</t>
  </si>
  <si>
    <t>Income from other sources (e.g. local authorities)</t>
  </si>
  <si>
    <t>All services</t>
  </si>
  <si>
    <t xml:space="preserve">Private patient income </t>
  </si>
  <si>
    <t>Other clinical income</t>
  </si>
  <si>
    <t>Total income from activities</t>
  </si>
  <si>
    <t>Income from patient care activities received from:</t>
  </si>
  <si>
    <t>NHS England</t>
  </si>
  <si>
    <t>Department of Health and Social Care</t>
  </si>
  <si>
    <t>Other NHS providers</t>
  </si>
  <si>
    <t xml:space="preserve">NHS other </t>
  </si>
  <si>
    <t xml:space="preserve">Local authorities </t>
  </si>
  <si>
    <t xml:space="preserve">Non-NHS: private patients </t>
  </si>
  <si>
    <t xml:space="preserve">Non-NHS: overseas patients (chargeable to patient) </t>
  </si>
  <si>
    <t>Injury cost recovery scheme</t>
  </si>
  <si>
    <t>Non NHS: other</t>
  </si>
  <si>
    <t>Of which:</t>
  </si>
  <si>
    <t>Related to continuing operations</t>
  </si>
  <si>
    <t>Related to discontinued operations</t>
  </si>
  <si>
    <t>Income recognised this year</t>
  </si>
  <si>
    <t xml:space="preserve">Cash payments received in-year </t>
  </si>
  <si>
    <t xml:space="preserve">Amounts added to provision for impairment of receivables </t>
  </si>
  <si>
    <t>Amounts written off in-year</t>
  </si>
  <si>
    <t>Contract income</t>
  </si>
  <si>
    <t>Non-contract income</t>
  </si>
  <si>
    <t>Research and development</t>
  </si>
  <si>
    <t>Education and training</t>
  </si>
  <si>
    <t>Non-patient care services to other bodies</t>
  </si>
  <si>
    <t>Income in respect of employee benefits accounted on a gross basis</t>
  </si>
  <si>
    <t>Charitable and other contributions to expenditure</t>
  </si>
  <si>
    <t>Support from the Department of Health and Social Care for mergers</t>
  </si>
  <si>
    <t>Amortisation of PFI deferred income / credits</t>
  </si>
  <si>
    <t>Total other operating income</t>
  </si>
  <si>
    <t>[Where 'Other income' in this note is material, providers should consider including an additional analysis of significant items of income included in this figure]</t>
  </si>
  <si>
    <t>[Add narrative if support from the Department of Health and Social Care for mergers is disclosed]</t>
  </si>
  <si>
    <t>Revenue recognised in the reporting period that was included in within contract liabilities at the previous period end</t>
  </si>
  <si>
    <t>Revenue recognised from performance obligations satisfied (or partially satisfied) in previous periods</t>
  </si>
  <si>
    <t>Revenue from existing contracts allocated to remaining performance obligations is expected to be recognised:</t>
  </si>
  <si>
    <t>within one year</t>
  </si>
  <si>
    <t>after one year, not later than five years</t>
  </si>
  <si>
    <t>after five years</t>
  </si>
  <si>
    <t>Total revenue allocated to remaining performance obligations</t>
  </si>
  <si>
    <t>The trust has exercised the practical expedients permitted by IFRS 15 paragraph 121 in preparing this disclosure. Revenue from (i) contracts with an expected duration of one year or less and (ii) contracts where the trust recognises revenue directly corresponding to work done to date is not disclosed.</t>
  </si>
  <si>
    <t>Income</t>
  </si>
  <si>
    <t>Full cost</t>
  </si>
  <si>
    <t>Surplus / (deficit)</t>
  </si>
  <si>
    <t>[Providers should explain the nature of the service and the nature / extent of any subsidies / overcharging]</t>
  </si>
  <si>
    <t>Purchase of healthcare from NHS and DHSC bodies</t>
  </si>
  <si>
    <t>Purchase of healthcare from non-NHS and non-DHSC bodies</t>
  </si>
  <si>
    <t>Purchase of social care</t>
  </si>
  <si>
    <t>Staff and executive directors costs</t>
  </si>
  <si>
    <t>Remuneration of non-executive directors</t>
  </si>
  <si>
    <t>Supplies and services - clinical (excluding drugs costs)</t>
  </si>
  <si>
    <t>Note to preparer - this row includes utilisation of donated consumables (personal protective equipment). Mapping can be updated if inventory utilisation would normally be mapped to another row</t>
  </si>
  <si>
    <t xml:space="preserve">Supplies and services - general </t>
  </si>
  <si>
    <t>Drug costs (drugs inventory consumed and purchase of non-inventory drugs)</t>
  </si>
  <si>
    <t>Inventories written down</t>
  </si>
  <si>
    <t>Note to preparer - this row includes all inventory write downs (including inventories donated for COVID response)</t>
  </si>
  <si>
    <t>Consultancy costs</t>
  </si>
  <si>
    <t xml:space="preserve">Premises </t>
  </si>
  <si>
    <t>Transport (including patient travel)</t>
  </si>
  <si>
    <t>Depreciation on property, plant and equipment</t>
  </si>
  <si>
    <t>Amortisation on intangible assets</t>
  </si>
  <si>
    <t>Movement in credit loss allowance: contract receivables / contract assets</t>
  </si>
  <si>
    <t>Movement in credit loss allowance: all other receivables and investments</t>
  </si>
  <si>
    <t>Increase/(decrease) in other provisions</t>
  </si>
  <si>
    <t>Change in provisions discount rate(s)</t>
  </si>
  <si>
    <t>audit services- statutory audit</t>
  </si>
  <si>
    <t>other auditor remuneration (external auditor only)</t>
  </si>
  <si>
    <t>Internal audit costs</t>
  </si>
  <si>
    <t>Clinical negligence</t>
  </si>
  <si>
    <t>Legal fees</t>
  </si>
  <si>
    <t>Insurance</t>
  </si>
  <si>
    <t>Early retirements</t>
  </si>
  <si>
    <t xml:space="preserve">Redundancy </t>
  </si>
  <si>
    <t>Charges to operating expenditure for on-SoFP IFRIC 12 schemes (e.g. PFI / LIFT)</t>
  </si>
  <si>
    <t>Charges to operating expenditure for off-SoFP PFI / LIFT schemes</t>
  </si>
  <si>
    <t>Car parking &amp; security</t>
  </si>
  <si>
    <t xml:space="preserve">Hospitality </t>
  </si>
  <si>
    <t>Losses, ex gratia &amp; special payments</t>
  </si>
  <si>
    <t>Grossing up consortium arrangements</t>
  </si>
  <si>
    <t>Other services, eg external payroll</t>
  </si>
  <si>
    <t>Other</t>
  </si>
  <si>
    <t>[If 'Other' expenditure is a material figure then an analysis of the breakdown is required]</t>
  </si>
  <si>
    <t>Other auditor remuneration paid to the external auditor:</t>
  </si>
  <si>
    <t>1. Audit of accounts of any associate of the trust</t>
  </si>
  <si>
    <t>2. Audit-related assurance services</t>
  </si>
  <si>
    <t>3. Taxation compliance services</t>
  </si>
  <si>
    <t>4. All taxation advisory services not falling within item 3 above</t>
  </si>
  <si>
    <t>5. Internal audit services</t>
  </si>
  <si>
    <t>6. All assurance services not falling within items 1 to 5</t>
  </si>
  <si>
    <t>7. Corporate finance transaction services not falling within items 1 to 6 above</t>
  </si>
  <si>
    <t>8. Other non-audit services not falling within items 2 to 7 above</t>
  </si>
  <si>
    <t>Net impairments charged to operating surplus / deficit resulting from:</t>
  </si>
  <si>
    <t>Loss or damage from normal operations</t>
  </si>
  <si>
    <t>Over specification of assets</t>
  </si>
  <si>
    <t>Abandonment of assets in course of construction</t>
  </si>
  <si>
    <t>Unforeseen obsolescence</t>
  </si>
  <si>
    <t>Loss as a result of catastrophe</t>
  </si>
  <si>
    <t>Changes in market price</t>
  </si>
  <si>
    <t xml:space="preserve">Other </t>
  </si>
  <si>
    <t>Total net impairments charged to operating surplus / deficit</t>
  </si>
  <si>
    <t>Impairments charged to the revaluation reserve</t>
  </si>
  <si>
    <t>Total net impairments</t>
  </si>
  <si>
    <t>Where applicable, the reportable segment in which the asset is recognised should also be disclosed]</t>
  </si>
  <si>
    <t>Salaries and wages</t>
  </si>
  <si>
    <t xml:space="preserve">Social security costs </t>
  </si>
  <si>
    <t>Apprenticeship levy</t>
  </si>
  <si>
    <t xml:space="preserve">Employer's contributions to NHS pensions </t>
  </si>
  <si>
    <t>Pension cost - other</t>
  </si>
  <si>
    <t>Other post employment benefits</t>
  </si>
  <si>
    <t>Other employment benefits</t>
  </si>
  <si>
    <t>Termination benefits</t>
  </si>
  <si>
    <t>Temporary staff (including agency)</t>
  </si>
  <si>
    <t>Total gross staff costs</t>
  </si>
  <si>
    <t>Recoveries in respect of seconded staff</t>
  </si>
  <si>
    <t>Total staff costs</t>
  </si>
  <si>
    <t>Of which</t>
  </si>
  <si>
    <t>Costs capitalised as part of assets</t>
  </si>
  <si>
    <t>These estimated costs are calculated on an average basis and will be borne by the NHS Pension Scheme.</t>
  </si>
  <si>
    <t>Only FTs - NHS trusts please delete</t>
  </si>
  <si>
    <t>a) Accounting valuation</t>
  </si>
  <si>
    <t>b) Full actuarial (funding) valuation</t>
  </si>
  <si>
    <t>[Where the trust offers an additional defined contribution workplace pension scheme (e.g. the National Employment Savings Scheme (NEST)), there should be additional disclosures in relation to this scheme as required by paragraph 50 onwards of IAS 19.]</t>
  </si>
  <si>
    <t>Minimum lease receipts</t>
  </si>
  <si>
    <t>- not later than one year;</t>
  </si>
  <si>
    <t>- later than one year and not later than five years;</t>
  </si>
  <si>
    <t>- later than five years.</t>
  </si>
  <si>
    <t>Finance income represents interest received on assets and investments in the period.</t>
  </si>
  <si>
    <t>Interest on bank accounts</t>
  </si>
  <si>
    <t>Interest income on finance leases</t>
  </si>
  <si>
    <t>Interest on other investments / financial assets</t>
  </si>
  <si>
    <t>Other finance income</t>
  </si>
  <si>
    <t>Total finance income</t>
  </si>
  <si>
    <t>Finance expenditure represents interest and other charges involved in the borrowing of money or asset financing.</t>
  </si>
  <si>
    <t>Interest expense:</t>
  </si>
  <si>
    <t>Other loans</t>
  </si>
  <si>
    <t>Interest on late payment of commercial debt</t>
  </si>
  <si>
    <t>Total interest expense</t>
  </si>
  <si>
    <t>Unwinding of discount on provisions</t>
  </si>
  <si>
    <t>Other finance costs</t>
  </si>
  <si>
    <t>Total finance costs</t>
  </si>
  <si>
    <t>Total liability accruing in year under this legislation as a result of late payments</t>
  </si>
  <si>
    <t>Amounts included within interest payable arising from claims made under this legislation</t>
  </si>
  <si>
    <t>Compensation paid to cover debt recovery costs under this legislation</t>
  </si>
  <si>
    <t>Gains on disposal of assets</t>
  </si>
  <si>
    <t>Losses on disposal of assets</t>
  </si>
  <si>
    <t>Total gains / (losses) on disposal of assets</t>
  </si>
  <si>
    <t>Gains / (losses) on foreign exchange</t>
  </si>
  <si>
    <t>Fair value gains / (losses) on investment properties</t>
  </si>
  <si>
    <t>Fair value gains / (losses) on financial assets / investments</t>
  </si>
  <si>
    <t>Fair value gains / (losses) on financial liabilities</t>
  </si>
  <si>
    <t>Recycling gains / (losses) on disposal of financial assets mandated as fair value through OCI</t>
  </si>
  <si>
    <t>Total other gains / (losses)</t>
  </si>
  <si>
    <t>[In accordance with IAS 1 para 98, the following should be disclosed separately if material:
- disposals of property, plant and equipment
- disposals of investments
IFRS 9, para 20A requires disclosure of reasons for derecognising financial assets]</t>
  </si>
  <si>
    <t xml:space="preserve">Operating income of discontinued operations </t>
  </si>
  <si>
    <t xml:space="preserve">Operating expenses of discontinued operations </t>
  </si>
  <si>
    <t>Gain on disposal of discontinued operations</t>
  </si>
  <si>
    <t>(Loss) on disposal of discontinued operations</t>
  </si>
  <si>
    <t>Corporation tax expense attributable to discontinued operations</t>
  </si>
  <si>
    <t>[Disclose the nature of the discontinued operations where applicable]</t>
  </si>
  <si>
    <t>Software  licences</t>
  </si>
  <si>
    <t xml:space="preserve">Total </t>
  </si>
  <si>
    <t xml:space="preserve">Valuation / gross cost at start of period for new FTs </t>
  </si>
  <si>
    <t xml:space="preserve">Transfers by absorption </t>
  </si>
  <si>
    <t>Additions</t>
  </si>
  <si>
    <t>Reversals of impairments</t>
  </si>
  <si>
    <t>Revaluations</t>
  </si>
  <si>
    <t xml:space="preserve">Reclassifications </t>
  </si>
  <si>
    <t>Transfers to / from assets held for sale</t>
  </si>
  <si>
    <t>Disposals / derecognition</t>
  </si>
  <si>
    <t xml:space="preserve">Amortisation at start of period for new FTs </t>
  </si>
  <si>
    <t>Transfers by absorption</t>
  </si>
  <si>
    <t xml:space="preserve">Provided during the year </t>
  </si>
  <si>
    <t>Buildings excluding dwellings</t>
  </si>
  <si>
    <t>Assets under construction</t>
  </si>
  <si>
    <t xml:space="preserve">Valuation/gross cost at start of period as FT </t>
  </si>
  <si>
    <t xml:space="preserve">Depreciation at start of period as FT </t>
  </si>
  <si>
    <t xml:space="preserve">Valuation / gross cost at start of period as FT </t>
  </si>
  <si>
    <t>Owned - purchased</t>
  </si>
  <si>
    <t>On-SoFP PFI contracts and other service concession arrangements</t>
  </si>
  <si>
    <t>Off-SoFP PFI residual interests</t>
  </si>
  <si>
    <t>Owned - donated/granted</t>
  </si>
  <si>
    <t>[Trusts must disclose details of any donations of property, plant and equipment received during the year, including any restriction or conditions imposed by the donor.</t>
  </si>
  <si>
    <t>Where the funder provides cash, rather than physical assets, any difference between the cash provided and the fair value of the assets acquired should also be disclosed.]</t>
  </si>
  <si>
    <t>[For classes of asset held at a revalued amounts, disclose:
 - the effective date of the most recent valuation;
 - whether the valuation was carried out by an independent valuer;
 - methods and significant assumptions applied in valuing the assets; and
 - the extent to which asset values have been determined with reference to markets or estimation using valuation techniques.</t>
  </si>
  <si>
    <t>The nature and effect of changes in accounting estimates related to the valuation of property, plant and equipment should be disclosed.  This may be include changes to:
 - residual values;
 - useful lives;
 - valuation methodology; or
 - depreciation methods.</t>
  </si>
  <si>
    <t>Trusts may also find it beneficial to disclose:
 - the carrying amount of temporarily idle assets;
 - the gross carrying amount of fully depreciated assets;
 - the carrying amount of assets not in active use but not classified as held for sale.]</t>
  </si>
  <si>
    <t>Carrying value at 1 April - brought forward</t>
  </si>
  <si>
    <t>At start of period for new FTs</t>
  </si>
  <si>
    <t xml:space="preserve">Acquisitions in year </t>
  </si>
  <si>
    <t>Movement in fair value</t>
  </si>
  <si>
    <t>Transfers to/from assets held for sale</t>
  </si>
  <si>
    <t>Disposals</t>
  </si>
  <si>
    <t>Direct operating expense arising from investment property which generated rental income in the period</t>
  </si>
  <si>
    <t>Direct operating expense arising from investment property which did not generate rental income in the period</t>
  </si>
  <si>
    <t>Total investment property expenses</t>
  </si>
  <si>
    <t>Investment property income</t>
  </si>
  <si>
    <t>Share of profit / (loss)</t>
  </si>
  <si>
    <t>Disbursements / dividends received</t>
  </si>
  <si>
    <t>Share of Other Comprehensive Income</t>
  </si>
  <si>
    <t>Other equity movements</t>
  </si>
  <si>
    <t>Movement in fair value through income and expenditure</t>
  </si>
  <si>
    <t>Movement in fair value through OCI</t>
  </si>
  <si>
    <t>Amortisation at the effective interest rate</t>
  </si>
  <si>
    <t>Current portion of loans receivable transferred to current financial assets</t>
  </si>
  <si>
    <t>Loans receivable within 12 months transferred from non-current financial assets</t>
  </si>
  <si>
    <t>Deposits with the National Loans Fund</t>
  </si>
  <si>
    <t>Other current financial assets</t>
  </si>
  <si>
    <t>Total current investments / financial assets</t>
  </si>
  <si>
    <t>[Where significant credit loss allowances are recognised against investments, providers should disclose a reconciliation of the movement in the credit loss (IFRS 7, para 35H and 35I)]</t>
  </si>
  <si>
    <t>[Trust with interests in unconsolidated subsidiaries, joint ventures, associates or unconsolidated structured entities should make relevant disclosures as required by IFRS 12, including, where relevant, the nature and operations of the investee, summarised financial information, significant judgements and assumptions and risk disclosures........]</t>
  </si>
  <si>
    <t>Drugs</t>
  </si>
  <si>
    <t>Work In progress</t>
  </si>
  <si>
    <t>Consumables</t>
  </si>
  <si>
    <t>Energy</t>
  </si>
  <si>
    <t>Total inventories</t>
  </si>
  <si>
    <t>of which:</t>
  </si>
  <si>
    <t>Held at fair value less costs to sell</t>
  </si>
  <si>
    <t>These inventories were recognised as additions to inventory at deemed cost with the corresponding benefit recognised in income. The utilisation of these items is included in the expenses disclosed above.</t>
  </si>
  <si>
    <t>[Or where a provider has a policy to not record consumables in inventory on the grounds of materiality and has taken the option to exclude donated PPE from the inventories note in accounts only, as a permissible inconsistency with the TAC schedules, the disclosure in the row above should be replaced with:</t>
  </si>
  <si>
    <t>The deemed cost of these inventories was charged directly to expenditure on receipt with the corresponding benefit recognised in income.]</t>
  </si>
  <si>
    <t>Current</t>
  </si>
  <si>
    <t>Contract receivables</t>
  </si>
  <si>
    <t>Contract assets</t>
  </si>
  <si>
    <t>Capital receivables</t>
  </si>
  <si>
    <t>Allowance for impaired contract receivables / assets</t>
  </si>
  <si>
    <t>Allowance for other impaired receivables</t>
  </si>
  <si>
    <t>Deposits and advances</t>
  </si>
  <si>
    <t>Prepayments (non-PFI)</t>
  </si>
  <si>
    <t>PFI prepayments - capital contributions</t>
  </si>
  <si>
    <t xml:space="preserve">PFI lifecycle prepayments </t>
  </si>
  <si>
    <t>Interest receivable</t>
  </si>
  <si>
    <t>Finance lease receivables</t>
  </si>
  <si>
    <t>PDC dividend receivable</t>
  </si>
  <si>
    <t>VAT receivable</t>
  </si>
  <si>
    <t>Corporation and other taxes receivable</t>
  </si>
  <si>
    <t>Other receivables</t>
  </si>
  <si>
    <t>Total current receivables</t>
  </si>
  <si>
    <t>Non-current</t>
  </si>
  <si>
    <t>Total non-current receivables</t>
  </si>
  <si>
    <t xml:space="preserve">Of which receivable from NHS and DHSC group bodies: </t>
  </si>
  <si>
    <r>
      <t xml:space="preserve">[Where contract </t>
    </r>
    <r>
      <rPr>
        <u/>
        <sz val="9"/>
        <color rgb="FFFF0000"/>
        <rFont val="Arial"/>
        <family val="2"/>
      </rPr>
      <t>assets</t>
    </r>
    <r>
      <rPr>
        <sz val="9"/>
        <color rgb="FFFF0000"/>
        <rFont val="Arial"/>
        <family val="2"/>
      </rPr>
      <t xml:space="preserve"> are material, providers should explain significant movements in contract </t>
    </r>
    <r>
      <rPr>
        <u/>
        <sz val="9"/>
        <color rgb="FFFF0000"/>
        <rFont val="Arial"/>
        <family val="2"/>
      </rPr>
      <t>asset</t>
    </r>
    <r>
      <rPr>
        <sz val="9"/>
        <color rgb="FFFF0000"/>
        <rFont val="Arial"/>
        <family val="2"/>
      </rPr>
      <t xml:space="preserve"> balances, including both qualitative and quantitative information. Significant changes may include trust mergers, impairments, changes to contractual terms such as timing of right to consideration or performance obligations and changes in estimates and judgements (IFRS 15, para 118)]</t>
    </r>
  </si>
  <si>
    <t>Contract receivables and contract assets</t>
  </si>
  <si>
    <t>All other receivables</t>
  </si>
  <si>
    <t xml:space="preserve">Allowances at start of period for new FTs </t>
  </si>
  <si>
    <t>New allowances arising</t>
  </si>
  <si>
    <t>Changes in existing allowances</t>
  </si>
  <si>
    <t>Reversals of allowances</t>
  </si>
  <si>
    <t>Utilisation of allowances (write offs)</t>
  </si>
  <si>
    <t>Changes arising following modification of contractual cash flows</t>
  </si>
  <si>
    <t>Foreign exchange and other changes</t>
  </si>
  <si>
    <t>[Providers should consider making additional disclosures in relation to expected credit losses where any of the following apply:</t>
  </si>
  <si>
    <t>Contractual cash flows have been modified without derecognition of the receivable / financial asset (IFRS 7, para 35J)</t>
  </si>
  <si>
    <t>Collateral of other credit enhancements have been pledged to the provider or the provider has taken possession of such collateral (IFRS 7, para 35K and 38)</t>
  </si>
  <si>
    <t>Amounts written off in the year are still subject to enforcement activity (IFRS 7, para 35L)]</t>
  </si>
  <si>
    <t>[In accordance with paragraphs 35M and 35N of IFRS 7, providers should disclose quantitative information to demonstrate its exposure to credit risk. For receivables this may be in the form of a provision matrix.]</t>
  </si>
  <si>
    <t>Total other current assets</t>
  </si>
  <si>
    <t>Net defined benefit pension scheme asset</t>
  </si>
  <si>
    <t>Total other non-current assets</t>
  </si>
  <si>
    <t>NBV of non-current assets for sale and assets in disposal groups at 1 April</t>
  </si>
  <si>
    <t>NBV of non-current assets for sale and assets in disposal groups at 1 April - restated</t>
  </si>
  <si>
    <t>Assets classified as available for sale in the year</t>
  </si>
  <si>
    <t>Assets sold in year</t>
  </si>
  <si>
    <t>Impairment of assets held for sale</t>
  </si>
  <si>
    <t>Reversal of impairment of assets held for sale</t>
  </si>
  <si>
    <t>Assets no longer classified as held for sale, for reasons other than sale</t>
  </si>
  <si>
    <t>NBV of non-current assets for sale and assets in disposal groups at 31 March</t>
  </si>
  <si>
    <t>[In the period in which a non-current asset is classified for sale, the trust should disclose:
 - a description of the asset (or disposal group)
 - a description of the circumstances leading to the sale or expected disposal and the expected time and manner of the disposal; and
 - if applicable the reportable segment in which the asset is presented.
Where the decision to sell / dispose of an asset is reversed, the facts and circumstances leading to the decision and the effect of the decision on the results of the trust should be disclosed.]</t>
  </si>
  <si>
    <t>Categorised as:</t>
  </si>
  <si>
    <t>Cash and cash equivalents comprise cash at bank, in hand and cash equivalents. Cash equivalents are readily convertible investments of known value which are subject to an insignificant risk of change in value.</t>
  </si>
  <si>
    <t>At 1 April</t>
  </si>
  <si>
    <t>At 1 April (restated)</t>
  </si>
  <si>
    <t>Net change in year</t>
  </si>
  <si>
    <t>At 31 March</t>
  </si>
  <si>
    <t>Broken down into:</t>
  </si>
  <si>
    <t xml:space="preserve">Cash at commercial banks and in hand </t>
  </si>
  <si>
    <t>Cash with the Government Banking Service</t>
  </si>
  <si>
    <t>Deposits with the National Loan Fund</t>
  </si>
  <si>
    <t>Other current investments</t>
  </si>
  <si>
    <t>Total cash and cash equivalents as in SoFP</t>
  </si>
  <si>
    <t>Bank overdrafts (GBS and commercial banks)</t>
  </si>
  <si>
    <t>Drawdown in committed facility</t>
  </si>
  <si>
    <t>Total cash and cash equivalents as in SoCF</t>
  </si>
  <si>
    <t>Bank balances</t>
  </si>
  <si>
    <t>Monies on deposit</t>
  </si>
  <si>
    <t>Total third party assets</t>
  </si>
  <si>
    <t xml:space="preserve">Current </t>
  </si>
  <si>
    <t>Trade payables</t>
  </si>
  <si>
    <t>Capital payables</t>
  </si>
  <si>
    <t>Accruals</t>
  </si>
  <si>
    <t>Receipts in advance and payments on account</t>
  </si>
  <si>
    <t>PFI lifecycle replacement received in advance</t>
  </si>
  <si>
    <t>Social security costs</t>
  </si>
  <si>
    <t>VAT payables</t>
  </si>
  <si>
    <t>Other taxes payable</t>
  </si>
  <si>
    <t>PDC dividend payable</t>
  </si>
  <si>
    <t>Other payables</t>
  </si>
  <si>
    <t>Total current trade and other payables</t>
  </si>
  <si>
    <t>Total non-current trade and other payables</t>
  </si>
  <si>
    <t xml:space="preserve">Of which payables from NHS and DHSC group bodies: </t>
  </si>
  <si>
    <t>The payables note above includes amounts in relation to early retirements as set out below:</t>
  </si>
  <si>
    <t xml:space="preserve">Number </t>
  </si>
  <si>
    <t xml:space="preserve">- to buy out the liability for early retirements over 5 years </t>
  </si>
  <si>
    <t xml:space="preserve">- number of cases involved </t>
  </si>
  <si>
    <t>Deferred income: contract liabilities</t>
  </si>
  <si>
    <t>Deferred grants</t>
  </si>
  <si>
    <t>Deferred PFI credits / income</t>
  </si>
  <si>
    <t>Other deferred income</t>
  </si>
  <si>
    <t>Total other current liabilities</t>
  </si>
  <si>
    <t xml:space="preserve">Net pension scheme liability </t>
  </si>
  <si>
    <t>Total other non-current liabilities</t>
  </si>
  <si>
    <t>[Providers should explain significant movements in contract liability balances, including both qualitative and quantitative information. Significant changes may include trust mergers, impairments, changes to contractual terms such as timing of right to consideration or performance obligations and changes in estimates and judgements (IFRS 15, para 118)]</t>
  </si>
  <si>
    <t xml:space="preserve">Bank overdrafts </t>
  </si>
  <si>
    <t>Loans from DHSC</t>
  </si>
  <si>
    <t>Obligations under PFI, LIFT or other service concession contracts</t>
  </si>
  <si>
    <t>Total current borrowings</t>
  </si>
  <si>
    <t>Total non-current borrowings</t>
  </si>
  <si>
    <t>Note to preparer - in order to fit these tables on one page, please hide unused rows (then delete this comment)</t>
  </si>
  <si>
    <t>PFI and LIFT schemes</t>
  </si>
  <si>
    <t>Cash movements:</t>
  </si>
  <si>
    <t>Financing cash flows - payments and receipts of principal</t>
  </si>
  <si>
    <t>Financing cash flows - payments of interest</t>
  </si>
  <si>
    <t>Non-cash movements:</t>
  </si>
  <si>
    <t>Application of effective interest rate</t>
  </si>
  <si>
    <t>Change in effective interest rate</t>
  </si>
  <si>
    <t>Changes in fair value</t>
  </si>
  <si>
    <t>Early terminations</t>
  </si>
  <si>
    <t>Other changes</t>
  </si>
  <si>
    <t>Derivatives held at fair value through income and expenditure</t>
  </si>
  <si>
    <t>Total current other financial liabilities</t>
  </si>
  <si>
    <t>Total non-current other financial liabilities</t>
  </si>
  <si>
    <t>Unearned interest income</t>
  </si>
  <si>
    <t>Allowance for uncollectable lease payments</t>
  </si>
  <si>
    <t xml:space="preserve">Finance charges allocated to future periods </t>
  </si>
  <si>
    <t>Pensions: early departure costs</t>
  </si>
  <si>
    <t>Pensions: injury benefits</t>
  </si>
  <si>
    <t>Legal claims</t>
  </si>
  <si>
    <t>Re-structuring</t>
  </si>
  <si>
    <t>Equal Pay (including Agenda for Change)</t>
  </si>
  <si>
    <t>Redundancy</t>
  </si>
  <si>
    <t xml:space="preserve">Change in the discount rate </t>
  </si>
  <si>
    <t xml:space="preserve">Arising during the year </t>
  </si>
  <si>
    <t>Utilised during the year</t>
  </si>
  <si>
    <t>Reclassified to liabilities held in disposal groups</t>
  </si>
  <si>
    <t xml:space="preserve">Unwinding of discount </t>
  </si>
  <si>
    <t xml:space="preserve">Expected timing of cash flows: </t>
  </si>
  <si>
    <t xml:space="preserve">Value of contingent liabilities </t>
  </si>
  <si>
    <t>NHS Resolution legal claims</t>
  </si>
  <si>
    <t>Employment tribunal and other employee related litigation</t>
  </si>
  <si>
    <t>Gross value of contingent liabilities</t>
  </si>
  <si>
    <t>Amounts recoverable against liabilities</t>
  </si>
  <si>
    <t>Net value of contingent liabilities</t>
  </si>
  <si>
    <t>Net value of contingent assets</t>
  </si>
  <si>
    <t>[For each class of contingent liability, the trust should disclose:
 - an indication of uncertainties over the amount or timing of cash flows; and
 - the possibility of any reimbursement reimbursement]</t>
  </si>
  <si>
    <t>The trust is committed to making payments under non-cancellable contracts (which are not leases, PFI contracts or other service concession arrangement), analysed by the period during which the payment is made:</t>
  </si>
  <si>
    <t>not later than 1 year</t>
  </si>
  <si>
    <t>after 1 year and not later than 5 years</t>
  </si>
  <si>
    <t>paid thereafter</t>
  </si>
  <si>
    <t>[Where material, the trust should include disclosures relating to any defined benefit pension schemes, as provided by the fund's actuary]</t>
  </si>
  <si>
    <t>Note to preparer - hiding unused rows may allow these notes to fit on one page. Otherwise insert a page break</t>
  </si>
  <si>
    <t xml:space="preserve">Present value of the defined benefit obligation at 1 April </t>
  </si>
  <si>
    <t>Present value of the defined benefit obligation at 1 April - restated</t>
  </si>
  <si>
    <t>Present value of the defined benefit obligation at start of period for new FTs</t>
  </si>
  <si>
    <t>Current service cost</t>
  </si>
  <si>
    <t>Interest cost</t>
  </si>
  <si>
    <t>Contribution by plan participants</t>
  </si>
  <si>
    <t>Remeasurement of the net defined benefit (liability) / asset:</t>
  </si>
  <si>
    <t xml:space="preserve"> - Actuarial (gains) / losses</t>
  </si>
  <si>
    <t>Benefits paid</t>
  </si>
  <si>
    <t>Past service costs</t>
  </si>
  <si>
    <t>Business combinations</t>
  </si>
  <si>
    <t>Curtailments and settlements</t>
  </si>
  <si>
    <t>Present value of the defined benefit obligation at 31 March</t>
  </si>
  <si>
    <t xml:space="preserve">Plan assets at fair value at 1 April </t>
  </si>
  <si>
    <t>Plan assets at fair value at 1 April -restated</t>
  </si>
  <si>
    <t>Plan assets at fair value at start of period for new FTs</t>
  </si>
  <si>
    <t>Transfers by normal absorption</t>
  </si>
  <si>
    <t>Interest income</t>
  </si>
  <si>
    <t xml:space="preserve"> - Return on plan assets</t>
  </si>
  <si>
    <t xml:space="preserve"> - Actuarial gain / (losses)</t>
  </si>
  <si>
    <t xml:space="preserve"> - Changes in the effect of limiting a net defined benefit asset to the asset ceiling</t>
  </si>
  <si>
    <t>Contributions by the employer</t>
  </si>
  <si>
    <t>Contributions by the plan participants</t>
  </si>
  <si>
    <t>Settlements</t>
  </si>
  <si>
    <t>Plan assets at fair value at 31 March</t>
  </si>
  <si>
    <t>Plan surplus/(deficit) at 31 March</t>
  </si>
  <si>
    <t>Present value of the defined benefit obligation</t>
  </si>
  <si>
    <t>Plan assets at fair value</t>
  </si>
  <si>
    <t>Net defined benefit (obligation) / asset recognised in the SoFP</t>
  </si>
  <si>
    <t>Fair value of any reimbursement right</t>
  </si>
  <si>
    <t>Net (liability) / asset after the impact of reimbursement rights</t>
  </si>
  <si>
    <t>Interest expense / income</t>
  </si>
  <si>
    <t>Past service cost</t>
  </si>
  <si>
    <t>Gains/(losses) on curtailment and settlement</t>
  </si>
  <si>
    <t>Total net (charge) / gain recognised in SOCI</t>
  </si>
  <si>
    <t>[Provide details of any PFI schemes, LIFT schemes or other service concession recognised on-SoFP]</t>
  </si>
  <si>
    <t>The following obligations in respect of the PFI, LIFT or other service concession arrangements are recognised in the statement of financial position:</t>
  </si>
  <si>
    <t>Gross PFI, LIFT or other service concession liabilities</t>
  </si>
  <si>
    <t>Of which liabilities are due</t>
  </si>
  <si>
    <t>Net PFI, LIFT or other service concession arrangement obligation</t>
  </si>
  <si>
    <t>Total future commitments under these on-SoFP schemes are as follows:</t>
  </si>
  <si>
    <t>Of which payments are due:</t>
  </si>
  <si>
    <t>Unitary payment payable to service concession operator</t>
  </si>
  <si>
    <t>Consisting of:</t>
  </si>
  <si>
    <t>- Interest charge</t>
  </si>
  <si>
    <t>- Repayment of balance sheet obligation</t>
  </si>
  <si>
    <t>- Service element and other charges to operating expenditure</t>
  </si>
  <si>
    <t>- Capital lifecycle maintenance</t>
  </si>
  <si>
    <t>- Revenue lifecycle maintenance</t>
  </si>
  <si>
    <t>- Contingent rent</t>
  </si>
  <si>
    <t>- Addition to lifecycle prepayment</t>
  </si>
  <si>
    <t>Other amounts paid to operator due to a commitment under the service concession contract but not part of the unitary payment</t>
  </si>
  <si>
    <t>Total amount paid to service concession operator</t>
  </si>
  <si>
    <t>[In accordance with IFRS 7, trusts should disclose information that enables users of the accounts to evaluate the nature and extent of risks arising from financial instruments to which the entity is exposed at the end of the reporting period.  These risks typically include, but are not limited to: 
  i) credit risk, 
  ii) liquidity risk and 
  iii) market risk,
  iv) foreign currency risk.</t>
  </si>
  <si>
    <t>For each type of risk trusts should disclose:
  a) the exposures to risk and how they arise;
  b) policies and processes for managing the risk and the methods used to measure the risk.
  c) any changes in (a) or (b) since the previous period.</t>
  </si>
  <si>
    <t>Providers should keep in mind materiality when considering the extent to which the disclosure requirements of IFRS 7 paragraphs 33 to 35H and 39 to 42 apply. Disclosures should be proportionate to the provider's exposure to risk.]</t>
  </si>
  <si>
    <t>Held at amortised cost</t>
  </si>
  <si>
    <t>Total 
book value</t>
  </si>
  <si>
    <t>Trade and other receivables excluding non financial assets</t>
  </si>
  <si>
    <t xml:space="preserve">[Providers should make additional disclosures where in relation to financial assets any of the following apply:
</t>
  </si>
  <si>
    <t>Financial assets have been reclassified between measurement categories, other than on implementation of IFRS 9 (IFRS 7 paragraph 12A to 12D)</t>
  </si>
  <si>
    <t>Financial assets and liabilities have been offset (IFRS 7, paragraphs 13A to 13F)</t>
  </si>
  <si>
    <t>Financial assets have been pledged as collateral (IFRS 7, paragraphs 14 and 15)]</t>
  </si>
  <si>
    <t>Loans from the Department of Health and Social Care</t>
  </si>
  <si>
    <t xml:space="preserve">Obligations under PFI, LIFT and other service concession contracts </t>
  </si>
  <si>
    <t>Other borrowings</t>
  </si>
  <si>
    <t xml:space="preserve">Trade and other payables excluding non financial liabilities </t>
  </si>
  <si>
    <t>Provisions under contract</t>
  </si>
  <si>
    <t>[Providers should make additional disclosures where there have been defaults on loans payable or breaches of loan terms in the period (IFRS 7, paragraphs 18 and 19)</t>
  </si>
  <si>
    <t>The following maturity profile of financial liabilities is based on the contractual undiscounted cash flows. This differs to the amounts recognised in the statement of financial position which are discounted to present value.</t>
  </si>
  <si>
    <t>In one year or less</t>
  </si>
  <si>
    <t>In more than one year but not more than five years</t>
  </si>
  <si>
    <t>In more than five years</t>
  </si>
  <si>
    <t>[Where book value is not a reasonable approximation of fair value, providers should disclose the fair value of relevant class of financial assets and liabilities in a way that permits it to be compared with its carrying value above.</t>
  </si>
  <si>
    <t>Alternatively where book value (carrying value) is a reasonable approximation of fair value, this fact should be disclosed.]</t>
  </si>
  <si>
    <t>Total number of cases</t>
  </si>
  <si>
    <t>Total value of cases</t>
  </si>
  <si>
    <t>Losses</t>
  </si>
  <si>
    <t>Cash losses</t>
  </si>
  <si>
    <t>Fruitless payments and constructive losses</t>
  </si>
  <si>
    <t>Bad debts and claims abandoned</t>
  </si>
  <si>
    <t>Stores losses and damage to property</t>
  </si>
  <si>
    <t>Total losses</t>
  </si>
  <si>
    <t>Special payments</t>
  </si>
  <si>
    <t>Compensation under court order or legally binding arbitration award</t>
  </si>
  <si>
    <t>Extra-contractual payments</t>
  </si>
  <si>
    <t>Ex-gratia payments</t>
  </si>
  <si>
    <t>Special severance payments</t>
  </si>
  <si>
    <t>Extra-statutory and extra-regulatory payments</t>
  </si>
  <si>
    <t>Total special payments</t>
  </si>
  <si>
    <t>Total losses and special payments</t>
  </si>
  <si>
    <t>Compensation payments received</t>
  </si>
  <si>
    <t>[Details of cases individually over £300k</t>
  </si>
  <si>
    <t>For cases exceeding £300k, the following should be disclosed both for the current year and the prior year:</t>
  </si>
  <si>
    <t>- the type of case (e.g. loss of cash, stores loses, fruitless payment, etc)</t>
  </si>
  <si>
    <t>- the total value of the case; and</t>
  </si>
  <si>
    <t>- details of how the case occurred.]</t>
  </si>
  <si>
    <t>Disclosure of gifts given by the trust is only required if the total value of gifts made exceeds £300,000.</t>
  </si>
  <si>
    <t>Gifts made</t>
  </si>
  <si>
    <t>Accounts should include a note on gifts given if their total value exceeds £300,000. Gifts given with a value of more than £300,000 should be noted individually. ]</t>
  </si>
  <si>
    <t>Disclose the details of any transfers by absorption in the year where the trust has been either the receiving or divesting party. This should include a reconciliation of any gain/loss recognised in the SoCI.  Refer to the requirements of the GAM]</t>
  </si>
  <si>
    <t>Trusts should comply with the disclosure requirements of IAS 8 where comparative information has been restated due to either a change in accounting policy or material prior period error.]</t>
  </si>
  <si>
    <t>For each non-adjusting event after the reporting period (e.g. major purchases, classifications of an asset held for sale or announcement of commencement of major restructuring) disclose:
 - the nature of the event; and
 - an estimate of the financial effect or state that an estimate cannot be made
For bodies undergoing absorption transactions after the reporting date, describe the expected financial and business impacts of the transaction.]</t>
  </si>
  <si>
    <t>NHS trusts only - FTs please delete</t>
  </si>
  <si>
    <t>Non-NHS Payables</t>
  </si>
  <si>
    <t>Number</t>
  </si>
  <si>
    <t>Total non-NHS trade invoices paid in the year</t>
  </si>
  <si>
    <t>Total non-NHS trade invoices paid within target</t>
  </si>
  <si>
    <t>Percentage of non-NHS trade invoices paid within target</t>
  </si>
  <si>
    <t>NHS Payables</t>
  </si>
  <si>
    <t>Total NHS trade invoices paid in the year</t>
  </si>
  <si>
    <t>Total NHS trade invoices paid within target</t>
  </si>
  <si>
    <t>Percentage of NHS trade invoices paid within target</t>
  </si>
  <si>
    <t xml:space="preserve">The Better Payment Practice code requires the NHS body to aim to pay all valid invoices by the due date or within 30 days of receipt of valid invoice, whichever is later. </t>
  </si>
  <si>
    <t>Gross capital expenditure</t>
  </si>
  <si>
    <t>Less: Disposals</t>
  </si>
  <si>
    <t>Less: Donated and granted capital additions</t>
  </si>
  <si>
    <t>Charge against Capital Resource Limit</t>
  </si>
  <si>
    <t>Capital Resource Limit</t>
  </si>
  <si>
    <t>Under / (over) spend against CRL</t>
  </si>
  <si>
    <t>Adjusted financial performance surplus / (deficit) (control total basis)</t>
  </si>
  <si>
    <t>Remove impairments scoring to Departmental Expenditure Limit</t>
  </si>
  <si>
    <t>Add back non-cash element of On-SoFP pension scheme charges</t>
  </si>
  <si>
    <t>IFRIC 12 breakeven adjustment</t>
  </si>
  <si>
    <t>Breakeven duty financial performance surplus / (deficit)</t>
  </si>
  <si>
    <t>NHS trust only - FTs please delete</t>
  </si>
  <si>
    <t>[Add narrative disclosures required by guidance.]</t>
  </si>
  <si>
    <t>1997/98 to 2008/09</t>
  </si>
  <si>
    <t>2009/10</t>
  </si>
  <si>
    <t>2010/11</t>
  </si>
  <si>
    <t>2011/12</t>
  </si>
  <si>
    <t>2012/13</t>
  </si>
  <si>
    <t>2013/14</t>
  </si>
  <si>
    <t>2014/15</t>
  </si>
  <si>
    <t>Breakeven duty in-year financial performance</t>
  </si>
  <si>
    <t>Breakeven duty cumulative position</t>
  </si>
  <si>
    <t>Operating income</t>
  </si>
  <si>
    <t>Cumulative breakeven position as a percentage of operating income</t>
  </si>
  <si>
    <t>2015/16</t>
  </si>
  <si>
    <t>2016/17</t>
  </si>
  <si>
    <t>2017/18</t>
  </si>
  <si>
    <t>2018/19</t>
  </si>
  <si>
    <t>2019/20</t>
  </si>
  <si>
    <t>In line with the HM Treasury requirements, some previous accounts disclosures relating to staff costs are now required to be included in the staff report section of the annual report instead. The following tables link to data contained in the TAC and are included here for ease of formatting for the annual report.  They should not be included in the annual accounts and these tables are not a complete list of numerical disclosures for the staff report.</t>
  </si>
  <si>
    <t>Staff costs</t>
  </si>
  <si>
    <t>Permanent</t>
  </si>
  <si>
    <t>Employer's contributions to NHS pension scheme</t>
  </si>
  <si>
    <t>Temporary staff</t>
  </si>
  <si>
    <t>Average number of employees (WTE basis)</t>
  </si>
  <si>
    <t xml:space="preserve">Medical and dental </t>
  </si>
  <si>
    <t xml:space="preserve">Ambulance staff </t>
  </si>
  <si>
    <t xml:space="preserve">Administration and estates </t>
  </si>
  <si>
    <t xml:space="preserve">Healthcare assistants and other support staff </t>
  </si>
  <si>
    <t xml:space="preserve">Nursing, midwifery and health visiting staff </t>
  </si>
  <si>
    <t xml:space="preserve">Nursing, midwifery and health visiting learners </t>
  </si>
  <si>
    <t xml:space="preserve">Scientific, therapeutic and technical staff </t>
  </si>
  <si>
    <t>Healthcare science staff</t>
  </si>
  <si>
    <t xml:space="preserve">Social care staff </t>
  </si>
  <si>
    <t>Total average numbers</t>
  </si>
  <si>
    <t>Number of employees (WTE) engaged on capital projects</t>
  </si>
  <si>
    <t>[A narrative description of any exit packages agreed in the period should be provided]</t>
  </si>
  <si>
    <t>Number of 
compulsory
redundancies</t>
  </si>
  <si>
    <t>Number of other departures agreed</t>
  </si>
  <si>
    <t>Total number of exit packages</t>
  </si>
  <si>
    <t>Exit package cost band (including any special payment element)</t>
  </si>
  <si>
    <t>&lt;£10,000</t>
  </si>
  <si>
    <t>£10,000 - £25,000</t>
  </si>
  <si>
    <t>£25,001 - 50,000</t>
  </si>
  <si>
    <t>£50,001 - £100,000</t>
  </si>
  <si>
    <t>£100,001 - £150,000</t>
  </si>
  <si>
    <t>£150,001 - £200,000</t>
  </si>
  <si>
    <t>&gt;£200,000</t>
  </si>
  <si>
    <t>Total number of exit packages by type</t>
  </si>
  <si>
    <t>Total cost (£)</t>
  </si>
  <si>
    <t>[A narrative description of any exit packages agreed in the comparative period should be provided]</t>
  </si>
  <si>
    <t>Number of 
compulsory 
redundancies</t>
  </si>
  <si>
    <t>Total resource cost (£)</t>
  </si>
  <si>
    <t>Exit packages: other (non-compulsory) departure payments</t>
  </si>
  <si>
    <t>Payments agreed</t>
  </si>
  <si>
    <t>Total 
value of agreements</t>
  </si>
  <si>
    <t>Voluntary redundancies including early retirement contractual costs</t>
  </si>
  <si>
    <t>Mutually agreed resignations (MARS) contractual costs</t>
  </si>
  <si>
    <t>Early retirements in the efficiency of the service contractual costs</t>
  </si>
  <si>
    <t xml:space="preserve">Contractual payments in lieu of notice </t>
  </si>
  <si>
    <t>Exit payments following Employment Tribunals or court orders</t>
  </si>
  <si>
    <t>Non-contractual payments requiring HMT approval</t>
  </si>
  <si>
    <t>Non-contractual payments requiring HMT approval made to individuals where the payment value was more than 12 months’ of their annual salary</t>
  </si>
  <si>
    <t>Fees payable to the external auditor</t>
  </si>
  <si>
    <r>
      <rPr>
        <sz val="9"/>
        <color rgb="FFFF0000"/>
        <rFont val="Arial"/>
        <family val="2"/>
      </rPr>
      <t xml:space="preserve">[Lead providers only] </t>
    </r>
    <r>
      <rPr>
        <b/>
        <sz val="9"/>
        <color rgb="FF0070C0"/>
        <rFont val="Arial"/>
        <family val="2"/>
      </rPr>
      <t>Mental health provider collaboratives</t>
    </r>
  </si>
  <si>
    <t>Very long-term</t>
  </si>
  <si>
    <t>After 10 years up to 40 years</t>
  </si>
  <si>
    <t>Exceeding 40 years</t>
  </si>
  <si>
    <t>Prior year rate</t>
  </si>
  <si>
    <t>West Hertfordshire Teaching Hospitals NHS Trust</t>
  </si>
  <si>
    <t>Services delivered under a mental health collaborative</t>
  </si>
  <si>
    <t>Income for commissioning services in a mental health collaborative</t>
  </si>
  <si>
    <t>There are additional disclosure requirements for exit packages.
- NHS trusts should refer to DHSC GAM, annex 3 to chapter 3
- NHS foundation trusts should refer to FT ARM, annex 1 to chapter 2.</t>
  </si>
  <si>
    <t xml:space="preserve">The Group version of the template assumes that the Trust takes advantage of the Companies Act exemption repeated in the GAM (paragraph 5.13) which allows the parent (i.e. Trust) statement of comprehensive income and related notes to be omitted. The SOCI and its supporting notes therefore omit 'Trust' columns. Some trusts may wish to add these back in, or in some cases add additional disclosure explaining what the difference between group and trust numbers would be. </t>
  </si>
  <si>
    <r>
      <t>For notes where Group and Trust should be included, paragraph 5.15 of the GAM states "w</t>
    </r>
    <r>
      <rPr>
        <i/>
        <sz val="11"/>
        <color theme="1"/>
        <rFont val="Calibri"/>
        <family val="2"/>
        <scheme val="minor"/>
      </rPr>
      <t>here the entity determines that the difference between the ‘Group’ and ‘Parent Entity’ numbers is immaterial for a particular note, the ‘Parent Entity’ version of that note may be omitted from the accounts. The omission and the extent of the immaterial differences must be explained.</t>
    </r>
    <r>
      <rPr>
        <sz val="11"/>
        <color theme="1"/>
        <rFont val="Calibri"/>
        <family val="2"/>
        <scheme val="minor"/>
      </rPr>
      <t>" This template has been prepared with Group and Trust versions of all balance sheet notes, which the user may wish to amend.</t>
    </r>
  </si>
  <si>
    <t>[FTs should ensure they comply with paragraphs 5.63 - 5.65 of the GAM and disclose director long term incentive schemes, other pension benefits, guarantees and advances where applicable.]</t>
  </si>
  <si>
    <t>[In line with the GAM, employee benefits should be shown in the accounts note in a single column for all categories of staff, which matches those shown for employee benefits in the staff costs disclosure in the Staff Report part of the annual report. See paragraphs 5.54 - 5.60 in the GAM for more detail.
See the "Staff report tables" tab for the disclosure that is now required in the Staff Report section of the annual report.]</t>
  </si>
  <si>
    <r>
      <rPr>
        <b/>
        <sz val="9"/>
        <color theme="1"/>
        <rFont val="Arial"/>
        <family val="2"/>
      </rPr>
      <t>Information on reserves
Public dividend capital</t>
    </r>
    <r>
      <rPr>
        <sz val="9"/>
        <color theme="1"/>
        <rFont val="Arial"/>
        <family val="2"/>
      </rPr>
      <t xml:space="preserve">
Public dividend capital (PDC) is a type of public sector equity finance based on the excess of assets over liabilities at the time of establishment of the predecessor NHS organisation. Additional PDC may also be issued to trusts by the Department of Health and Social Care. A charge, reflecting the cost of capital utilised by the trust, is payable to the Department of Health as the public dividend capital dividend.
</t>
    </r>
    <r>
      <rPr>
        <b/>
        <sz val="9"/>
        <color theme="1"/>
        <rFont val="Arial"/>
        <family val="2"/>
      </rPr>
      <t xml:space="preserve">
Revaluation reserve</t>
    </r>
    <r>
      <rPr>
        <sz val="9"/>
        <color theme="1"/>
        <rFont val="Arial"/>
        <family val="2"/>
      </rPr>
      <t xml:space="preserve">
Increases in asset values arising from revaluations are recognised in the revaluation reserve, except where, and to the extent that, they reverse impairments previously recognised in operating expenses, in which case they are recognised in operating income. Subsequent downward movements in asset valuations are charged to the revaluation reserve to the extent that a previous gain was recognised unless the downward movement represents a clear consumption of economic benefit or a reduction in service potential.
</t>
    </r>
    <r>
      <rPr>
        <b/>
        <sz val="9"/>
        <color theme="1"/>
        <rFont val="Arial"/>
        <family val="2"/>
      </rPr>
      <t xml:space="preserve">
</t>
    </r>
    <r>
      <rPr>
        <b/>
        <sz val="9"/>
        <rFont val="Arial"/>
        <family val="2"/>
      </rPr>
      <t>Financial assets reserve</t>
    </r>
    <r>
      <rPr>
        <sz val="9"/>
        <rFont val="Arial"/>
        <family val="2"/>
      </rPr>
      <t xml:space="preserve">
This reserve comprises changes in the fair value of financial assets measured at fair value through other comprehensive income.  When these instruments are derecognised, cumulative gains or losses previously recognised as other comprehensive income or expenditure are recycled to income or expenditure, unless the assets are equity instruments measured at fair value through other comprehensive income as a result of irrevocable election at recognition.</t>
    </r>
    <r>
      <rPr>
        <sz val="9"/>
        <color theme="1"/>
        <rFont val="Arial"/>
        <family val="2"/>
      </rPr>
      <t xml:space="preserve">
</t>
    </r>
    <r>
      <rPr>
        <b/>
        <sz val="9"/>
        <color theme="1"/>
        <rFont val="Arial"/>
        <family val="2"/>
      </rPr>
      <t xml:space="preserve">
</t>
    </r>
    <r>
      <rPr>
        <b/>
        <sz val="9"/>
        <color rgb="FFFF0000"/>
        <rFont val="Arial"/>
        <family val="2"/>
      </rPr>
      <t>Other reserves</t>
    </r>
    <r>
      <rPr>
        <sz val="9"/>
        <color rgb="FFFF0000"/>
        <rFont val="Arial"/>
        <family val="2"/>
      </rPr>
      <t xml:space="preserve">
[Where used, the trust should define what this reserve represents]</t>
    </r>
    <r>
      <rPr>
        <sz val="9"/>
        <color theme="1"/>
        <rFont val="Arial"/>
        <family val="2"/>
      </rPr>
      <t xml:space="preserve">
</t>
    </r>
    <r>
      <rPr>
        <b/>
        <sz val="9"/>
        <color theme="1"/>
        <rFont val="Arial"/>
        <family val="2"/>
      </rPr>
      <t xml:space="preserve">
Merger reserve</t>
    </r>
    <r>
      <rPr>
        <sz val="9"/>
        <color theme="1"/>
        <rFont val="Arial"/>
        <family val="2"/>
      </rPr>
      <t xml:space="preserve">
This legacy reserve reflects balances formed on previous mergers of NHS bodies.
</t>
    </r>
    <r>
      <rPr>
        <b/>
        <sz val="9"/>
        <color theme="1"/>
        <rFont val="Arial"/>
        <family val="2"/>
      </rPr>
      <t xml:space="preserve">
Income and expenditure reserve</t>
    </r>
    <r>
      <rPr>
        <sz val="9"/>
        <color theme="1"/>
        <rFont val="Arial"/>
        <family val="2"/>
      </rPr>
      <t xml:space="preserve">
The balance of this reserve is the accumulated surpluses and deficits of the trust.
</t>
    </r>
  </si>
  <si>
    <t>Remove loss recognised on peppercorn lease disposals</t>
  </si>
  <si>
    <t>Right of use assets</t>
  </si>
  <si>
    <t>2023</t>
  </si>
  <si>
    <t>2023/24</t>
  </si>
  <si>
    <t>Gains/(losses) on remeasurement of finance lease receivables (lessor)</t>
  </si>
  <si>
    <t>Gains/(losses) on termination of finance leases (lessor)</t>
  </si>
  <si>
    <t>Remeasurements of the lease liability</t>
  </si>
  <si>
    <t>Lease liability remeasurements</t>
  </si>
  <si>
    <t>Initial direct costs or up front payments in respect of new right of use assets (lessee)</t>
  </si>
  <si>
    <t>Receipt of cash lease incentives (lessee)</t>
  </si>
  <si>
    <t>Lease termination fees paid (lessee)</t>
  </si>
  <si>
    <t>Finance lease receipts (principal and interest)</t>
  </si>
  <si>
    <t>Lease receipts recognised as income in year:</t>
  </si>
  <si>
    <t>Total in-year operating lease income</t>
  </si>
  <si>
    <t>- not later than one year</t>
  </si>
  <si>
    <t>- later than one year and not later than two years</t>
  </si>
  <si>
    <t>- later than two years and not later than three years</t>
  </si>
  <si>
    <t>- later than three years and not later than four years</t>
  </si>
  <si>
    <t>- later than four years and not later than five years</t>
  </si>
  <si>
    <t>- later than five years</t>
  </si>
  <si>
    <t>HIDE</t>
  </si>
  <si>
    <t>Reclassifications</t>
  </si>
  <si>
    <t>Property 
(land and buildings)</t>
  </si>
  <si>
    <t>Undiscounted future lease receipts receivable in:</t>
  </si>
  <si>
    <t>- later than one year and not later than two years;</t>
  </si>
  <si>
    <t>- later than two years and not later than three years;</t>
  </si>
  <si>
    <t>- later than three years and not later than four years;</t>
  </si>
  <si>
    <t>- later than four years and not later than five years;</t>
  </si>
  <si>
    <t>Total future finance lease payments to be received</t>
  </si>
  <si>
    <t>Estimated value of unguaranteed residual interest</t>
  </si>
  <si>
    <t>Net investment in lease (net lease receivable)</t>
  </si>
  <si>
    <t>of which</t>
  </si>
  <si>
    <t>At start of period for New FTs</t>
  </si>
  <si>
    <t>Lease receipts (cash payments received)</t>
  </si>
  <si>
    <t>Undiscounted future lease payments payable in:</t>
  </si>
  <si>
    <t>Total gross future lease payments</t>
  </si>
  <si>
    <t xml:space="preserve">This accounts template has been developed by NHS England for use by NHS providers (NHS FTs and NHS trusts) and is entirely optional for use. </t>
  </si>
  <si>
    <r>
      <t xml:space="preserve">The accounts prepared by NHS trusts and NHS foundation trusts should comply with the Department of Health and Social Care's Group Accounting Manual (GAM) (and NHS England's </t>
    </r>
    <r>
      <rPr>
        <i/>
        <sz val="11"/>
        <color theme="1"/>
        <rFont val="Calibri"/>
        <family val="2"/>
        <scheme val="minor"/>
      </rPr>
      <t xml:space="preserve">NHS Foundation Trust Annual Reporting Manual </t>
    </r>
    <r>
      <rPr>
        <sz val="11"/>
        <color theme="1"/>
        <rFont val="Calibri"/>
        <family val="2"/>
        <scheme val="minor"/>
      </rPr>
      <t>(FT ARM) for foundation trusts). This template has been developed to assist trusts to meet these requirements. NHS England has no current intention of mandating use of this accounts template in future periods.</t>
    </r>
  </si>
  <si>
    <r>
      <t xml:space="preserve">The requirements for a provider's accounts are set out in chapter 4 of the GAM. This optional accounts template does </t>
    </r>
    <r>
      <rPr>
        <b/>
        <sz val="11"/>
        <color theme="1"/>
        <rFont val="Calibri"/>
        <family val="2"/>
        <scheme val="minor"/>
      </rPr>
      <t>not</t>
    </r>
    <r>
      <rPr>
        <sz val="11"/>
        <color theme="1"/>
        <rFont val="Calibri"/>
        <family val="2"/>
        <scheme val="minor"/>
      </rPr>
      <t xml:space="preserve"> form part of DHSC's direction to providers. If at any point this template appears inconsistent with the GAM, the GAM is the primary source of direction. Any such inconsistency would, however, be unintentional as the purpose of this template is to assist providers in complying with the GAM when determining the format of their accounts.</t>
    </r>
  </si>
  <si>
    <t>We recognise that every trust is different, and will have slightly differing disclosure requirements. As such the spreadsheet is entirely unprotected: in using this tool you will need to hide rows/columns as appropriate or you may wish to aggregate immaterial rows or columns and update the mapping to the TAC schedules. As such NHS England cannot guarantee that a set of accounts prepared using this tool will be compliant with the GAM to an extent that will satisfy the trust's auditors. In using this tool trusts will need to adapt it for local circumstances and NHS England accepts no responsibility for the accounts that are produced.</t>
  </si>
  <si>
    <r>
      <t xml:space="preserve">The accounts template is linked to TAC schedules within the PFR file. Cells linked to the TAC schedules contain defined file paths which are easily updated by the trust if you choose to map cells differently.  The file as issued contains links directed at dummy TAC schedules held by NHS England.  </t>
    </r>
    <r>
      <rPr>
        <b/>
        <sz val="11"/>
        <color theme="1"/>
        <rFont val="Calibri"/>
        <family val="2"/>
        <scheme val="minor"/>
      </rPr>
      <t>When opening the file for the first time, you should select 'do not update links' when prompted.</t>
    </r>
  </si>
  <si>
    <t>◦ updating accounting policies - this template includes the example accounting policies issued by NHS England.  These require local tailoring or replacing with the trust's own accounting policy disclosures.</t>
  </si>
  <si>
    <t>Step 5: Submission of accounts to NHS England</t>
  </si>
  <si>
    <t>Links should be broken before submitting this file (as draft or audited) to NHS England via your portal.</t>
  </si>
  <si>
    <t>Investment property</t>
  </si>
  <si>
    <t>Revenue from operating leases</t>
  </si>
  <si>
    <t>Reversed unused</t>
  </si>
  <si>
    <t>2020/21</t>
  </si>
  <si>
    <t>Reversal of impairments</t>
  </si>
  <si>
    <t>Provided during the year</t>
  </si>
  <si>
    <t>Remeasurements of lease receivables</t>
  </si>
  <si>
    <t>Lease additions</t>
  </si>
  <si>
    <t>Interest charge arising in year</t>
  </si>
  <si>
    <t>Operating lease receivables</t>
  </si>
  <si>
    <t>Pension contributions payable</t>
  </si>
  <si>
    <t>Reclassifications to/from PPE or right of use assets</t>
  </si>
  <si>
    <t>Of which: leased from DHSC group bodies</t>
  </si>
  <si>
    <t>Movements in provisions for restoration / removal costs</t>
  </si>
  <si>
    <t>Lease payments (cash outflows)</t>
  </si>
  <si>
    <t>[Where the trust is a lessor, a general description of the leasing arrangements should be disclosed. In addition, the Trust should disclose how it manages risk associated with any rights it retains in underlying assets]</t>
  </si>
  <si>
    <t>Variable lease receipts / contingent rents</t>
  </si>
  <si>
    <t>Integrated care boards</t>
  </si>
  <si>
    <t>Revenue from finance leases (variable lease receipts)</t>
  </si>
  <si>
    <t xml:space="preserve">Interest on loans from the Department of Health and Social Care </t>
  </si>
  <si>
    <t>Interest on other loans</t>
  </si>
  <si>
    <t xml:space="preserve">Interest on overdrafts </t>
  </si>
  <si>
    <t>Interest on lease obligations</t>
  </si>
  <si>
    <t>Interest arising (unwinding of discount)</t>
  </si>
  <si>
    <t>Derecognition due to early termination</t>
  </si>
  <si>
    <t>[Where the movement in the net lease receivable during the period is significant, providers should consider disclosing additional qualitative information.]</t>
  </si>
  <si>
    <t>Financial assets or financial liabilities in respect of assets acquired or disposed of through leasing arrangements are recognised and measured in accordance with the accounting policy for leases described below.</t>
  </si>
  <si>
    <t>A lease is a contract or part of a contract that conveys the right to use an asset for a period of time in exchange for consideration. An adaptation of the relevant accounting standard by HM Treasury for the public sector means that for NHS bodies, this includes lease-like arrangements with other public sector entities that do not take the legal form of a contract. It also includes peppercorn leases where consideration paid is nil or nominal (significantly below market value) but in all other respects meet the definition of a lease. The trust does not apply lease accounting to new contracts for the use of intangible assets.</t>
  </si>
  <si>
    <t>The Trust determines the term of the lease term with reference to the non-cancellable period and any options to extend or terminate the lease which the Trust is reasonably certain to exercise.</t>
  </si>
  <si>
    <t>Recognition and initial measurement</t>
  </si>
  <si>
    <t>At the commencement date of the lease, being when the asset is made available for use, the Trust recognises a right of use asset and a lease liability.
The right of use asset is recognised at cost comprising the lease liability, any lease payments made before or at commencement, any direct costs incurred by the lessee, less any cash lease incentives received. It also includes any estimate of costs to be incurred restoring the site or underlying asset on completion of the lease term.</t>
  </si>
  <si>
    <t>Subsequent measurement</t>
  </si>
  <si>
    <t>As required by a HM Treasury interpretation of the accounting standard for the public sector, the Trust employs a revaluation model for subsequent measurement of right of use assets, unless the cost model is considered to be an appropriate proxy for current value in existing use or fair value, in line with the accounting policy for owned assets. Where consideration exchanged is identified as significantly below market value, the cost model is not considered to be an appropriate proxy for the value of the right of use asset.</t>
  </si>
  <si>
    <t>The Trust subsequently measures the lease liability by increasing the carrying amount for interest arising which is also charged to expenditure as a finance cost and reducing the carrying amount for lease payments made. The liability is also remeasured for changes in assessments impacting the lease term, lease modifications or to reflect actual changes in lease payments. Such remeasurements are also reflected in the cost of the right of use asset. Where there is a change in the lease term or option to purchase the underlying asset, an updated discount rate is applied to the remaining lease payments.</t>
  </si>
  <si>
    <t>The Trust assesses each of its leases and classifies them as either a finance lease or an operating lease. Leases are classified as finance leases when substantially all the risks and rewards of ownership are transferred to the lessee. All other leases are classified as operating leases.
Where the Trust is an intermediate lessor, classification of the sublease is determined with reference to the right of use asset arising from the headlease.</t>
  </si>
  <si>
    <t>Amounts due from lessees under finance leases are recorded as receivables at the amount of the Trust’s net investment in the leases. Finance lease income is allocated to accounting periods to reflect a constant periodic rate of return on the Trust’s net investment outstanding in respect of the leases.</t>
  </si>
  <si>
    <t>Income from operating leases is recognised on a straight-line basis or another systematic basis over the term of the lease. Initial direct costs incurred in negotiating and arranging an operating lease are added to the carrying amount of the leased asset and recognised as an expense on a straight-line basis over the lease term.</t>
  </si>
  <si>
    <t>[Additional policies may be needed if the Trust has material sale and leaseback transactions]</t>
  </si>
  <si>
    <t>The Trust as a lessee</t>
  </si>
  <si>
    <t>The Trust as a lessor</t>
  </si>
  <si>
    <t>Income from commissioners under API contracts*</t>
  </si>
  <si>
    <t>Receipt of capital grants and donations and peppercorn leases</t>
  </si>
  <si>
    <t>Of which leased from DHSC group bodies:</t>
  </si>
  <si>
    <t>Note to preparer - this row includes irrecoverable VAT on leases which is not considered a lease payment</t>
  </si>
  <si>
    <t>Leased to other NHS providers</t>
  </si>
  <si>
    <t>Leased to other DHSC group bodies</t>
  </si>
  <si>
    <t>[Where leases to other DHSC group bodies are significant, providers should consider disaggregating this balance further]</t>
  </si>
  <si>
    <t>[Where assets leased to other DHSC group bodies under finance leases are material, the provider must also disclose the movements in the estimated carrying value of those leased assets that are no longer recognised on the providers SoFP. This should be split by class of asset and the closing estimated net carrying value should be analysed by DHSC group counterparty.
Where intra-group finance leases (trust as lessor) are not material, providers are encouraged to omit this disclosure on the grounds of immateriality.]</t>
  </si>
  <si>
    <t>Obligations under leases</t>
  </si>
  <si>
    <t>[A general description of the nature of the trust's leasing activities should be provided]</t>
  </si>
  <si>
    <t>Calderdale and Huddersfield NHS Foundation Trust</t>
  </si>
  <si>
    <t>Chelsea and Westminster Hospital NHS Foundation Trust</t>
  </si>
  <si>
    <t>Doncaster and Bassetlaw Teaching Hospitals NHS Foundation Trust</t>
  </si>
  <si>
    <t>Guy's and St Thomas' NHS Foundation Trust</t>
  </si>
  <si>
    <t>Homerton Healthcare NHS Foundation Trust</t>
  </si>
  <si>
    <t>King's College Hospital NHS Foundation Trust</t>
  </si>
  <si>
    <t>Queen Elizabeth Hospital King's Lynn NHS Foundation Trust</t>
  </si>
  <si>
    <t>The Leeds Teaching Hospitals NHS Trust</t>
  </si>
  <si>
    <t>Maidstone and Tunbridge Wells NHS Trust</t>
  </si>
  <si>
    <t>Mersey Care NHS Foundation Trust</t>
  </si>
  <si>
    <t>University Hospitals Plymouth NHS Trust</t>
  </si>
  <si>
    <t>Royal Devon University Healthcare NHS Foundation Trust</t>
  </si>
  <si>
    <t>Northern Care Alliance NHS Foundation Trust</t>
  </si>
  <si>
    <t>The Shrewsbury And Telford Hospital NHS Trust</t>
  </si>
  <si>
    <t>Surrey and Sussex Healthcare NHS Trust</t>
  </si>
  <si>
    <t>South Warwickshire University NHS Foundation Trust</t>
  </si>
  <si>
    <t>University Hospitals Sussex NHS Foundation Trust</t>
  </si>
  <si>
    <t>Whittington Health NHS Trust</t>
  </si>
  <si>
    <t>York and Scarborough Teaching Hospitals NHS Foundation Trust</t>
  </si>
  <si>
    <t>Net book value of right of use assets leased from other NHS providers</t>
  </si>
  <si>
    <t>Net book value of right of use assets leased from other DHSC group bodies</t>
  </si>
  <si>
    <t>This note details information about leases for which the Trust is a lessee.</t>
  </si>
  <si>
    <t>[The trust should include the following quantitative disclosures where relevant:
 - The gain or loss arising from any sale and leaseback transactions entered into in year
 - The amount of lease commitments for short term leases if the portfolio of short term leases to which it is committed at the end of the reporting period is dissimilar to the portfolio of short term leases for which expense has been incurred in year.
Additionally, the trust should disclose additional qualitative and quantitative information relating to the following where applicable and significant:
 - Restrictions or covenants imposed by leases
 - Sale and leaseback transactions
 - Future cash flows to which the trust is potentially exposed that are not reflected in the lease liability. This includes:
    &gt; variable lease payments not included in lease liabilities
    &gt; extension or termination options not reflected in the lease term
    &gt; residual value guarantees
    &gt; leases not yet commenced to which the trust is committed (contract signed)</t>
  </si>
  <si>
    <t>[Where the trust is a lessor, a general description of the leasing arrangements classified as finance leases should be disclosed. In addition, the Trust should disclose how it manages risk associated with any rights it retains in underlying assets]</t>
  </si>
  <si>
    <t>[Where the trust has disclosed potential future cash outflows in relation to leases not included in lease liabilities in line with paragraph 59(b) of IFRS 16 [TAC table 37.2], a cross reference should be included here to where that disclosure is made in the lessee note]</t>
  </si>
  <si>
    <t>Of which leased to DHSC group bodies:</t>
  </si>
  <si>
    <t xml:space="preserve">Note to preparer - providers may choose locally to map this to other clinical income. A separate row in accounts is not mandated. </t>
  </si>
  <si>
    <t>Leased from other NHS providers</t>
  </si>
  <si>
    <t>Leased from other DHSC group bodies</t>
  </si>
  <si>
    <t>Tab</t>
  </si>
  <si>
    <t>2024</t>
  </si>
  <si>
    <t>2024/25</t>
  </si>
  <si>
    <t>Mid Yorkshire Teaching NHS Trust</t>
  </si>
  <si>
    <t>Mersey and West Lancashire Teaching Hospitals NHS Trust</t>
  </si>
  <si>
    <t>Application of IFRS 16 measurement principles to PFI liability on 1 April 2023</t>
  </si>
  <si>
    <t>[This summary of requirements is for guidance only.  Trusts should prepare segmental reporting disclosures in accordance with IFRS 8 and paragraphs 5.45 to 5.53 of the GAM, providing financial information for reportable operating segments, where operating segments are components of the organisation about which separate financial information is available and regularly evaluated by the chief operating decision maker in deciding how to allocate resources and assessing performance.</t>
  </si>
  <si>
    <t>Expenditure on low value leases</t>
  </si>
  <si>
    <t>Expenditure on short term leases</t>
  </si>
  <si>
    <t>Variable lease payments not included in the liability</t>
  </si>
  <si>
    <t>Main finance costs</t>
  </si>
  <si>
    <t>Lease liabilities</t>
  </si>
  <si>
    <t>2021/22</t>
  </si>
  <si>
    <r>
      <rPr>
        <sz val="9"/>
        <color rgb="FFFF0000"/>
        <rFont val="Arial"/>
        <family val="2"/>
      </rPr>
      <t>[Where income from excluded high costs drugs and devices is material:]</t>
    </r>
    <r>
      <rPr>
        <sz val="9"/>
        <color theme="1"/>
        <rFont val="Arial"/>
        <family val="2"/>
      </rPr>
      <t xml:space="preserve"> </t>
    </r>
    <r>
      <rPr>
        <sz val="9"/>
        <color rgb="FF0070C0"/>
        <rFont val="Arial"/>
        <family val="2"/>
      </rPr>
      <t>High costs drugs and devices excluded from the calculation of national prices are reimbursed by NHS England based on actual usage or at a fixed baseline in addition to the price of the related service.</t>
    </r>
  </si>
  <si>
    <t>[In limited cases NHS England may have approved a system variation to income entitlement under the variable element as described above. Where this is the case providers should locally tailor the policy above to reflect how consideration for elective services is linked to actual activity]</t>
  </si>
  <si>
    <r>
      <rPr>
        <sz val="9"/>
        <color rgb="FFFF0000"/>
        <rFont val="Arial"/>
        <family val="2"/>
      </rPr>
      <t>[Ambulance trusts delete:]</t>
    </r>
    <r>
      <rPr>
        <sz val="9"/>
        <color theme="1"/>
        <rFont val="Arial"/>
        <family val="2"/>
      </rPr>
      <t xml:space="preserve"> Where the relationship with a particular integrated care board is expected to be a low volume of activity (annual value below £0.5m), an annual fixed payment is received by the provider as determined in the NHSPS documentation. Such income is classified as ‘other clinical income’ in these accounts.</t>
    </r>
  </si>
  <si>
    <t>NHS led provider collaboratives for specialised mental health, learning disability and autism services involve a lead NHS provider taking responsibility for managing services, care pathways and specialised commissioning budgets for a population. As lead provider for [specify collaborative name], the Trust is accountable to NHS England and as such recognises the income and expenditure associated with the commissioning of services from other providers in these accounts. Where the trust is the provider of commissioned services, this element of income is recognised in respect of the provision of services, after eliminating internal transactions.</t>
  </si>
  <si>
    <t>Government grants are grants from government bodies other than income from commissioners or trusts for the provision of services. Where a grant is used to fund revenue expenditure it is taken to the Statement of Comprehensive Income to match that expenditure. Where the grants is used to fund capital expenditure, it is credited to the Statement of Comprehensive Income once conditions attached to the grant have been met. Donations are treated in the same way as government grants.</t>
  </si>
  <si>
    <r>
      <t xml:space="preserve">PFI </t>
    </r>
    <r>
      <rPr>
        <sz val="9"/>
        <color rgb="FF0070C0"/>
        <rFont val="Arial"/>
        <family val="2"/>
      </rPr>
      <t>and LIFT</t>
    </r>
    <r>
      <rPr>
        <sz val="9"/>
        <color theme="1"/>
        <rFont val="Arial"/>
        <family val="2"/>
      </rPr>
      <t xml:space="preserve"> transactions which meet the IFRIC 12 definition of a service concession, as interpreted in HM Treasury’s </t>
    </r>
    <r>
      <rPr>
        <i/>
        <sz val="9"/>
        <color theme="1"/>
        <rFont val="Arial"/>
        <family val="2"/>
      </rPr>
      <t>FReM</t>
    </r>
    <r>
      <rPr>
        <sz val="9"/>
        <color theme="1"/>
        <rFont val="Arial"/>
        <family val="2"/>
      </rPr>
      <t xml:space="preserve">, are accounted for as ‘on-Statement of Financial Position’ by the trust. Annual contract payments to the operator (the unitary charge) are apportioned between the repayment of the liability including the finance cost, the charges for services and lifecycle replacement of components of the asset. </t>
    </r>
  </si>
  <si>
    <r>
      <t xml:space="preserve">Initial recognition
</t>
    </r>
    <r>
      <rPr>
        <sz val="9"/>
        <color theme="1"/>
        <rFont val="Arial"/>
        <family val="2"/>
      </rPr>
      <t>In accordance with HM Treasury’s FReM, the underlying assets are recognised as property, plant and equipment, together with an equivalent liability. Initial measurement of the asset and liability are in accordance with the initial measurement principles of IFRS 16 (see leases accounting policy).</t>
    </r>
  </si>
  <si>
    <r>
      <rPr>
        <i/>
        <sz val="9"/>
        <rFont val="Arial"/>
        <family val="2"/>
      </rPr>
      <t xml:space="preserve">Subsequent measurement
</t>
    </r>
    <r>
      <rPr>
        <sz val="9"/>
        <rFont val="Arial"/>
        <family val="2"/>
      </rPr>
      <t xml:space="preserve">
Assets are subsequently accounted for as property, plant and equipment and/or intangible assets as appropriate.
The liability is subsequently reduced by the portion of the unitary charge allocated as payment for the asset and increased by the annual finance cost. The finance cost is calculated by applying the implicit interest rate to the opening liability and is charged to finance costs in the Statement of Comprehensive Income. The element of the unitary charge allocated as payment for the asset is split between payment of the finance cost and repayment of the net liability. 
Where there are changes in future payments for the asset resulting from indexation of the unitary charge, the Trust remeasures the PFI liability by determining the revised payments for the remainder of the contract once the change in cash flows takes effect. The remeasurement adjustment is charged to finance costs in the Statement of Comprehensive Income.
The service charge is recognised in operating expenses in the Statement of Comprehensive Income.</t>
    </r>
  </si>
  <si>
    <t>4.26%</t>
  </si>
  <si>
    <t>4.03%</t>
  </si>
  <si>
    <t>4.72%</t>
  </si>
  <si>
    <t>4.40%</t>
  </si>
  <si>
    <t>3.60%</t>
  </si>
  <si>
    <t>1.80%</t>
  </si>
  <si>
    <t>Contingent liabilities are defined as:
• possible obligations arising from past events whose existence will be confirmed only by the occurrence of one or more uncertain future events not wholly within the entity’s control; or
• present obligations arising from past events but for which it is not probable that a transfer of economic benefits will arise or for which the amount of the obligation cannot be measured with sufficient reliability.</t>
  </si>
  <si>
    <t>Note to preparer - it will be necessary to hide unused rows to fit these statements on one page</t>
  </si>
  <si>
    <t>*Aligned payment and incentive contracts are the main form of contracting between NHS providers and their commissioners. More information can be found in the 2023/25 NHS Payment Scheme documentation.</t>
  </si>
  <si>
    <t>https://www.england.nhs.uk/pay-syst/nhs-payment-scheme/</t>
  </si>
  <si>
    <t>National pay award central funding***</t>
  </si>
  <si>
    <t>Note to preparer - this row includes donated inventories</t>
  </si>
  <si>
    <t>Future minimum lease receipts due in:</t>
  </si>
  <si>
    <t>Remeasurement of PFI / other service concession liability resulting from change in index or rate</t>
  </si>
  <si>
    <t>Finance costs on PFI, LIFT and other service concession arrangements:</t>
  </si>
  <si>
    <t>[Where NHS providers are not able to prepare this disclosure due to the complexities of public sector valuation methodology, this not should be deleted. Where assets subject to operating leases are material locally, providers should tailor accounts to disaggregate IAS 16 disclosures (PPE movement note).]</t>
  </si>
  <si>
    <t>Subject to an operating lease</t>
  </si>
  <si>
    <t>Not subject to an operating lease</t>
  </si>
  <si>
    <t>Lease Liabilities</t>
  </si>
  <si>
    <r>
      <t xml:space="preserve">[Trusts should prepare the related parties note in accordance with IAS 24 and paragraphs 5.248-5.255 of the GAM.
Trusts must disclose the Department of Health and Social Care as the parent department, and must provide a note of the main entities within the public sector that the trust has had dealings with. </t>
    </r>
    <r>
      <rPr>
        <u/>
        <sz val="9"/>
        <color rgb="FFFF0000"/>
        <rFont val="Arial"/>
        <family val="2"/>
      </rPr>
      <t xml:space="preserve">Note that no information needs to be given about these transactions. </t>
    </r>
    <r>
      <rPr>
        <sz val="9"/>
        <color rgb="FFFF0000"/>
        <rFont val="Arial"/>
        <family val="2"/>
      </rPr>
      <t xml:space="preserve">
Trusts must disclose all linked NHS charities as a related party where these are not consolidated. The nature of the relationship and the details of material transactions between the trust and the linked charities must be disclosed.
The requirement to disclose the compensation paid to management, expense allowances and similar items paid in the ordinary course of the trust's operations will be satisfied by the disclosures made in the notes to the accounts and in the Remuneration Report.
Trusts will also need to consider what additional disclosures may be needed for related parties as defined in paragraph 9 of IAS 24.]</t>
    </r>
  </si>
  <si>
    <t>Change type</t>
  </si>
  <si>
    <t>Change</t>
  </si>
  <si>
    <t>Income from commissioners under API contracts - fixed element*</t>
  </si>
  <si>
    <t>Income from commissioners under API contracts - variable element*</t>
  </si>
  <si>
    <t>High cost drugs income from commissioners</t>
  </si>
  <si>
    <t xml:space="preserve">The following disclosure is of income from charges to service users where the full cost of providing that service exceeds £1 million and is presented as the aggregate of such income. The cost associated with the service that generated the income is also disclosed. </t>
  </si>
  <si>
    <t>[For each material impairment loss or reversal recognised for an individual asset, the trust should disclose:
 - events and circumstances that led to the recognition of the impairment / reversal;
 - amount of the loss; 
 - the nature of the asset(s);
 - the amount of compensation from third parties recognised in the SoCI; and
- whether the recoverable amount has been measured at market value less costs to sell or value in existing use.</t>
  </si>
  <si>
    <t>Related parties may include but are not limited to:
 - Department of Health and Social Care ministers
 - Board members of the trust
 - The Department of Health and Social Care
 - Other NHS providers
 - ICBs and NHS England
 - Other health bodies
 - Other Government departments
 - Local authorities
 - NHS charitable funds</t>
  </si>
  <si>
    <r>
      <rPr>
        <b/>
        <sz val="9"/>
        <color theme="1"/>
        <rFont val="Arial"/>
        <family val="2"/>
      </rPr>
      <t>Note to preparer:</t>
    </r>
    <r>
      <rPr>
        <sz val="9"/>
        <color theme="1"/>
        <rFont val="Arial"/>
        <family val="2"/>
      </rPr>
      <t xml:space="preserve">
This note has been updated by NHS England for known changes. We are awaiting a final pension disclosure from NHS BSA. This will be shared with providers once received and any changes from this disclosure highlighted.</t>
    </r>
  </si>
  <si>
    <t>This will populate the 'Approval Date' in the foreword, on the SoFP and for events after the reporting period.</t>
  </si>
  <si>
    <t>2025</t>
  </si>
  <si>
    <t>2025/26</t>
  </si>
  <si>
    <t>This tab identifies changes in content since 20232/24 to aid those wishing to update their own locally produced templates identify necessary changes for this year</t>
  </si>
  <si>
    <t>2022/23</t>
  </si>
  <si>
    <t>Remove net impact of DHSC centrally procured inventories</t>
  </si>
  <si>
    <t>SoCIE</t>
  </si>
  <si>
    <t>Roll forward</t>
  </si>
  <si>
    <t>SOCIE - 2024/25</t>
  </si>
  <si>
    <t>Op Inc</t>
  </si>
  <si>
    <t>Row deleted - Clinical commissioning groups</t>
  </si>
  <si>
    <t>Op Inc 2</t>
  </si>
  <si>
    <t>Row deleted - Reimbursement and top up funding</t>
  </si>
  <si>
    <t>Finance &amp; other</t>
  </si>
  <si>
    <t>RoU assets</t>
  </si>
  <si>
    <t>Lessee 2</t>
  </si>
  <si>
    <t>Inv Prop</t>
  </si>
  <si>
    <t>Interests&amp;Inventory</t>
  </si>
  <si>
    <t>PFI LIFT Other 2</t>
  </si>
  <si>
    <t>n/a</t>
  </si>
  <si>
    <t>CRL and breakeven duty</t>
  </si>
  <si>
    <t>Row deleted -  incremental impact of IFRS 16 on PFI revenue costs in 2024/25</t>
  </si>
  <si>
    <t>breakeven duty 2</t>
  </si>
  <si>
    <t>Annual update</t>
  </si>
  <si>
    <t>Additional column added for 2024/25</t>
  </si>
  <si>
    <t>Accounting policies</t>
  </si>
  <si>
    <t>Refer to separately issued accounting policies for tracked changes since 2023/24</t>
  </si>
  <si>
    <t xml:space="preserve">Note 3.1 </t>
  </si>
  <si>
    <t xml:space="preserve">Note 3.2 </t>
  </si>
  <si>
    <t xml:space="preserve">Note 4 </t>
  </si>
  <si>
    <t xml:space="preserve">Note 12.1 </t>
  </si>
  <si>
    <t xml:space="preserve">Note 19.2 </t>
  </si>
  <si>
    <t xml:space="preserve">Note 19.4 </t>
  </si>
  <si>
    <t xml:space="preserve">Note 20 </t>
  </si>
  <si>
    <t xml:space="preserve">Note 32.2 </t>
  </si>
  <si>
    <t>Remove loss recognised on capital grants in kind</t>
  </si>
  <si>
    <t xml:space="preserve">PPE </t>
  </si>
  <si>
    <t>Intangibles</t>
  </si>
  <si>
    <t>Plus: Loss on disposal from capital grants in kind and peppercorn lease disposals</t>
  </si>
  <si>
    <t>Hampshire and Isle of Wight Healthcare NHS Foundation Trust</t>
  </si>
  <si>
    <t>Kingston and Richmond NHS Foundation Trust</t>
  </si>
  <si>
    <t>NORTHLONDON</t>
  </si>
  <si>
    <t>North London NHS Foundation Trust</t>
  </si>
  <si>
    <t>Midlands Partnership University NHS Foundation Trust</t>
  </si>
  <si>
    <t>United Lincolnshire Teaching Hospitals NHS Trust</t>
  </si>
  <si>
    <r>
      <t>For functions that the trust has transferred to another</t>
    </r>
    <r>
      <rPr>
        <sz val="9"/>
        <color rgb="FFFF0000"/>
        <rFont val="Arial"/>
        <family val="2"/>
      </rPr>
      <t xml:space="preserve"> </t>
    </r>
    <r>
      <rPr>
        <sz val="9"/>
        <color rgb="FF0070C0"/>
        <rFont val="Arial"/>
        <family val="2"/>
      </rPr>
      <t>[NHS / local government]</t>
    </r>
    <r>
      <rPr>
        <sz val="9"/>
        <color theme="1"/>
        <rFont val="Arial"/>
        <family val="2"/>
      </rPr>
      <t xml:space="preserve"> body, the assets and liabilities transferred are de-recognised from the accounts as at the date of transfer. The net </t>
    </r>
    <r>
      <rPr>
        <sz val="9"/>
        <color rgb="FF0070C0"/>
        <rFont val="Arial"/>
        <family val="2"/>
      </rPr>
      <t>[loss / gain]</t>
    </r>
    <r>
      <rPr>
        <sz val="9"/>
        <color rgb="FFFF0000"/>
        <rFont val="Arial"/>
        <family val="2"/>
      </rPr>
      <t xml:space="preserve"> </t>
    </r>
    <r>
      <rPr>
        <sz val="9"/>
        <color theme="1"/>
        <rFont val="Arial"/>
        <family val="2"/>
      </rPr>
      <t>corresponding to the net</t>
    </r>
    <r>
      <rPr>
        <sz val="9"/>
        <color rgb="FFFF0000"/>
        <rFont val="Arial"/>
        <family val="2"/>
      </rPr>
      <t xml:space="preserve"> </t>
    </r>
    <r>
      <rPr>
        <sz val="9"/>
        <color rgb="FF0070C0"/>
        <rFont val="Arial"/>
        <family val="2"/>
      </rPr>
      <t>[assets/ liabilities]</t>
    </r>
    <r>
      <rPr>
        <sz val="9"/>
        <color theme="1"/>
        <rFont val="Arial"/>
        <family val="2"/>
      </rPr>
      <t xml:space="preserve"> transferred is recognised within </t>
    </r>
    <r>
      <rPr>
        <sz val="9"/>
        <color rgb="FF0070C0"/>
        <rFont val="Arial"/>
        <family val="2"/>
      </rPr>
      <t>[expenses / income]</t>
    </r>
    <r>
      <rPr>
        <sz val="9"/>
        <color theme="1"/>
        <rFont val="Arial"/>
        <family val="2"/>
      </rPr>
      <t xml:space="preserve">, but not within operating activities. Any revaluation reserve balances attributable to assets de-recognised are transferred to the income and expenditure reserve. </t>
    </r>
    <r>
      <rPr>
        <sz val="9"/>
        <color rgb="FF0070C0"/>
        <rFont val="Arial"/>
        <family val="2"/>
      </rPr>
      <t xml:space="preserve">[Adjustments to align the acquired function to the trust's accounting policies are applied after initial recognition and are adjusted directly in taxpayers’ equity.] </t>
    </r>
  </si>
  <si>
    <t xml:space="preserve">Capital element of lease rental payments </t>
  </si>
  <si>
    <t>Interest paid on lease liability repayments</t>
  </si>
  <si>
    <t>Establishment</t>
  </si>
  <si>
    <t>Formula added in the comperative column- Remeasurement of the liability resulting from change in index or rate</t>
  </si>
  <si>
    <t>Note 15.2</t>
  </si>
  <si>
    <t>Note 16.2</t>
  </si>
  <si>
    <t>Note to preparer - both column includes RoU assets classified as investment properties</t>
  </si>
  <si>
    <t>Note 26.1</t>
  </si>
  <si>
    <t>[Provide details of any PFI schemes, LIFT schemes or other service concession accounted for off-SoFP]</t>
  </si>
  <si>
    <t>Commitments in respect of off-SoFP PFI, LIFT or other service concession arrangements:</t>
  </si>
  <si>
    <t>Trusts preparing accounts for their final period of operation, should include disclosures as required by paragraphs 4.828 to 4.834 of the GAM.</t>
  </si>
  <si>
    <t>SOCIE - 2023/24</t>
  </si>
  <si>
    <t>Row deleted - Initial application of IFRS 16 measurement principles to PFI liabilities</t>
  </si>
  <si>
    <t>Row added - Initial application of IFRS 16 measurement principles to PFI liabilities</t>
  </si>
  <si>
    <t>Row deleted - 1 April 2022 IFRS 16 implementation</t>
  </si>
  <si>
    <t>SOCI</t>
  </si>
  <si>
    <t>Adjusted financial performance</t>
  </si>
  <si>
    <t>Row deleted - modified absorption transfers (policy withdrawn January 2023)</t>
  </si>
  <si>
    <t>Rows added to reflect change in basis for recognising IFRIC 12 scheme revenue costs in outturn</t>
  </si>
  <si>
    <t>Other control total adjustments</t>
  </si>
  <si>
    <t>Remove I&amp;E impact of IFRIC 12 schemes on an IFRS 16 basis</t>
  </si>
  <si>
    <t>Add back I&amp;E impact of IFRIC 12 schemes on former UK GAAP basis</t>
  </si>
  <si>
    <t>Add back I&amp;E impact of IFRIC 12 schemes on an IAS 17 basis</t>
  </si>
  <si>
    <t>Note 3.1 footnotes</t>
  </si>
  <si>
    <t>Row deleted - Elective recovery fund. Related footnote also removed.</t>
  </si>
  <si>
    <t>Pension funding and pay award funding footnotes updated.</t>
  </si>
  <si>
    <t>The Department of Health and Social Care has directed that the financial statements of the Trust shall meet the accounting requirements of the Department of Health and Social Care Group Accounting Manual (GAM), which shall be agreed with HM Treasury. Consequently, the following financial statements have been prepared in accordance with the GAM 2024/25 issued by the Department of Health and Social Care. The accounting policies contained in the GAM follow International Financial Reporting Standards to the extent that they are meaningful and appropriate to the NHS, as determined by HM Treasury, which is advised by the Financial Reporting Advisory Board. Where the GAM permits a choice of accounting policy, the accounting policy that is judged to be most appropriate to the particular circumstances of the Trust for the purpose of giving a true and fair view has been selected. The particular policies adopted are described below. These have been applied consistently in dealing with items considered material in relation to the accounts.</t>
  </si>
  <si>
    <t xml:space="preserve">The main source of income for the Trust is contracts with commissioners for health care services. Funding envelopes are set at an Integrated Care System (ICS) level. The majority of the Trust’s NHS income is earned from NHS commissioners under the NHS Payment Scheme (NHSPS). The NHSPS sets out rules to establish the amount payable to trusts for NHS-funded secondary healthcare. </t>
  </si>
  <si>
    <t xml:space="preserve">Aligned payment and incentive contracts form the main payment mechanism under the NHSPS. API contracts contain both a fixed and variable element. Under the variable element, providers earn income for elective activity (both ordinary and day case), out-patient procedures, out-patient first attendances, diagnostic imaging and nuclear medicine, and chemotherapy delivery activity. The precise definition of these activities is given in the NHSPS. Income is earned at NHSPS prices based on actual activity. The fixed element includes income for all other services covered by the NHSPS assuming an agreed level of activity with ‘fixed’ in this context meaning not varying based on units of activity. Elements within this are accounted for as variable consideration under IFRS 15 as explained below.  </t>
  </si>
  <si>
    <t>The Trust also receives income from commissioners under Commissioning for Quality Innovation (CQUIN) and Best Practice Tariff (BPT) schemes. Delivery under these schemes is part of how care is provided to patients. As such CQUIN and BPT payments are not considered distinct performance obligations in their own right; instead they form part of the transaction price for performance obligations under the overall contract with the commissioner and are accounted for as variable consideration under IFRS 15.  Payment for CQUIN and BPT on non-elective services is included in the fixed element of API contracts with adjustments for actual achievement being made at the end of the year. BPT earned on elective activity is included in the variable element of API contracts and paid in line with actual activity performed.</t>
  </si>
  <si>
    <t>Elective recovery funding provides additional funding to integrated care boards to fund the commissioning of elective services within their systems. Trusts do not directly earn elective recovery funding, instead earning income for actual activity performed under API contract arrangements as explained above. The level of activity delivered by the trust contributes to system performance and therefore the availability of funding to the trust’s commissioners.</t>
  </si>
  <si>
    <t>The value of the benefit received when accessing funds from the Government's apprenticeship service is recognised as income at the point of receipt of the training service. Where these funds are paid directly to an accredited training provider from the Trust's apprenticeship service account held by the Department for Education, the corresponding notional expense is also recognised at the point of recognition for the benefit.</t>
  </si>
  <si>
    <t>Discontinued operations occur where activities either cease without transfer to another entity, or transfer to an entity outside of the boundary of the Whole of Government Accounts, such as private or voluntary sectors. Such activities are accounted for in accordance with IFRS 5. Activities that are transferred to other bodies within the boundary of the Whole of Government Accounts are ‘machinery of government changes’ and treated as continuing operations.</t>
  </si>
  <si>
    <r>
      <rPr>
        <i/>
        <sz val="9"/>
        <color theme="1"/>
        <rFont val="Arial"/>
        <family val="2"/>
      </rPr>
      <t>Initial application of IFRS 16 liability measurement principles to PFI and LIFT liabilities in 2023/24</t>
    </r>
    <r>
      <rPr>
        <sz val="9"/>
        <color theme="1"/>
        <rFont val="Arial"/>
        <family val="2"/>
      </rPr>
      <t xml:space="preserve">
IFRS 16 liability measurement principles were applied to PFI, LIFT and other service concession arrangement liabilities in these financial statements from 1 April 2023. The change in measurement basis was applied using a modified retrospective approach with the cumulative impact of remeasuring the liability on 1 April 2023 recognised in the income and expenditure reserve.</t>
    </r>
  </si>
  <si>
    <t xml:space="preserve">Intangible assets are non-monetary assets without physical substance controlled by the Trust. They are capable of being sold separately from the rest of the trust’s business or arise from contractual or other legal rights. Intangible assets are recognised only where it is probable that future economic benefits will flow to, or service potential be provided to, the trust and where the cost of the asset can be measured reliably. </t>
  </si>
  <si>
    <r>
      <rPr>
        <i/>
        <sz val="9"/>
        <color theme="1"/>
        <rFont val="Arial"/>
        <family val="2"/>
      </rPr>
      <t xml:space="preserve">Software
</t>
    </r>
    <r>
      <rPr>
        <sz val="9"/>
        <color theme="1"/>
        <rFont val="Arial"/>
        <family val="2"/>
      </rPr>
      <t xml:space="preserve">
Software which is integral to the operation of hardware, eg an operating system, is capitalised as part of the relevant item of property, plant and equipment. Software which is not integral to the operation of hardware, eg application software, is capitalised as an intangible asset where it meets recognition criteria.</t>
    </r>
  </si>
  <si>
    <t>Between 2020/21 and 2023/24 the Trust received inventories including personal protective equipment from the Department of Health and Social Care at nil cost. In line with the GAM and applying the principles of the IFRS Conceptual Framework, the Trust has accounted for the receipt of these inventories at a deemed cost, reflecting the best available approximation of an imputed market value for the transaction based on the cost of acquisition by the Department. Distribution of inventories by the Department ceased in March 2024.</t>
  </si>
  <si>
    <t xml:space="preserve">The lease liability is initially measured at the present value of future lease payments discounted at the interest rate implicit in the lease. Lease payments includes fixed lease payments, variable lease payments dependent on an index or rate and amounts payable under residual value guarantees. It also includes amounts payable for purchase options and termination penalties where these options are reasonably certain to be exercised.
Where an implicit rate cannot be readily determined, the Trust’s incremental borrowing rate is applied. This rate is determined by HM Treasury annually for each calendar year. A nominal rate of 4.72% applied to new leases commencing in 2024 and 4.81% to new leases commencing in 2025. </t>
  </si>
  <si>
    <t>4.07%</t>
  </si>
  <si>
    <t>4.81%</t>
  </si>
  <si>
    <t>4.55%</t>
  </si>
  <si>
    <t>2.60%</t>
  </si>
  <si>
    <t>2.30%</t>
  </si>
  <si>
    <t>The Trust recognises a provision where it has a present legal or constructive obligation of uncertain timing or amount; for which it is probable that there will be a future outflow of cash or other resources; and a reliable estimate can be made of the amount. The amount recognised in the Statement of Financial Position is the best estimate of the resources required to settle the obligation. Where the effect of the time value of money is significant, the estimated risk-adjusted cash flows are discounted using HM Treasury's discount rates effective from 31 March 2025:</t>
  </si>
  <si>
    <t>HM Treasury provides discount rates for general provisions on a nominal rate basis. Expected future cash flows are therefore adjusted for the impact of inflation before discounting using nominal rates. The following inflation rates are set by HM Treasury, effective from 31 March 2025:</t>
  </si>
  <si>
    <t>Early retirement provisions and injury benefit provisions both use the HM Treasury's post-employment benefits discount rate of 2.40% in real terms (prior year: 2.45%).</t>
  </si>
  <si>
    <t>[Where the effects of practical expedients mandated by the GAM are material, these should be disclosed as accounting policies. These include: (1) As per paragraph 121 of the Standard the Trust does not disclose information regarding performance obligations part of a contract that has an original expected duration of one year or less. (2) The GAM does not require the Trust to disclose information where revenue is recognised in line with the practical expedient offered in paragraph B16 of the Standard where the right to consideration corresponds directly with value of the performance completed to date.]</t>
  </si>
  <si>
    <t>[IAS 28 paragraph 16 states that "An entity with joint control of, or significant influence over, an investee shall account for its investment in an associate or a joint venture using the equity accounting method”. This applies to consolidated financial statements and the primary financial statements of entities without interests in subsidiaries. The following policies should therefore be retained for any equity accounted interests in associates or joint ventures included in these accounts.]</t>
  </si>
  <si>
    <t>NHS England has directed that the financial statements of the Trust shall meet the accounting requirements of the Department of Health and Social Care Group Accounting Manual (GAM), which shall be agreed with HM Treasury. Consequently, the following financial statements have been prepared in accordance with the GAM 2024/25 issued by the Department of Health and Social Care. The accounting policies contained in the GAM follow International Financial Reporting Standards to the extent that they are meaningful and appropriate to the NHS, as determined by HM Treasury, which is advised by the Financial Reporting Advisory Board. Where the GAM permits a choice of accounting policy, the accounting policy that is judged to be most appropriate to the particular circumstances of the Trust for the purpose of giving a true and fair view has been selected. The particular policies adopted are described below. These have been applied consistently in dealing with items considered material in relation to the accounts.</t>
  </si>
  <si>
    <t>An impairment that arises from a clear consumption of economic benefit or of service potential is reversed when, and to the extent that, the circumstances that gave rise to the loss is reversed. Reversals are recognised in operating expenditure to the extent that the asset is restored to the carrying amount it would have had if the impairment had never been recognised. Any remaining reversal is recognised in the revaluation reserve. Where, at the time of the original impairment, a transfer was made from the revaluation reserve to the income and expenditure reserve, an amount is transferred back to the revaluation reserve when the impairment reversal is recognised. Other impairments are treated as revaluation losses. Reversals of ‘other impairments’ are treated as revaluation gains.</t>
  </si>
  <si>
    <t>In accordance with the GAM, impairments that arise from a clear consumption of economic benefits or of service potential in the asset are charged to operating expenses. A compensating transfer is made from the revaluation reserve to the income and expenditure reserve of an amount equal to the lower of (i) the impairment charged to operating expenses; and (ii) the balance in the revaluation reserve attributable to that asset before the impairment.</t>
  </si>
  <si>
    <t>Contingent finance costs</t>
  </si>
  <si>
    <t>Remeasurement of the liability resulting from change in index or rate</t>
  </si>
  <si>
    <t>[Where a reversal of a write down of inventories has been recognised, the amount and the circumstances which led to the reversal should be disclosed.]</t>
  </si>
  <si>
    <t>Note 12.1 footnote</t>
  </si>
  <si>
    <t>Removal of PFI transitional footnote</t>
  </si>
  <si>
    <t>Row deleted - IFRS 16 implementation</t>
  </si>
  <si>
    <t>Rows deleted - IFRS 16 implementation</t>
  </si>
  <si>
    <t>Note 24 footnotes</t>
  </si>
  <si>
    <t>2024/25 change</t>
  </si>
  <si>
    <t>Donated personal protective equipment inventories footnote updated to reflect donations by DHSC ceasing in March 2024.</t>
  </si>
  <si>
    <t>Row deleted from current year note - Application of IFRS 16 measurement principles to PFI liability</t>
  </si>
  <si>
    <t>Row added to prior year note - Application of IFRS 16 measurement principles to PFI liability</t>
  </si>
  <si>
    <t>Row added to prior year note - Remeasurement of PFI / other service concession liability resulting from change in index or rate</t>
  </si>
  <si>
    <t>Row deleted from prior year note - Initial application of IFRS 16 to leases</t>
  </si>
  <si>
    <t>Off-SoFP PFI disclosures moved to 'PFI LIFT Other'</t>
  </si>
  <si>
    <t>All notes for the impact of applying IFRS 16 to PFI liabilities in 2023/14 have been deleted and the sheet removed.</t>
  </si>
  <si>
    <t>External financing limit removed (Q4 DHSC GAM update to be published)</t>
  </si>
  <si>
    <t>Note 51</t>
  </si>
  <si>
    <t>Note 52</t>
  </si>
  <si>
    <r>
      <t>Version:</t>
    </r>
    <r>
      <rPr>
        <b/>
        <sz val="12"/>
        <color theme="3" tint="0.39997558519241921"/>
        <rFont val="Calibri"/>
        <family val="2"/>
        <scheme val="minor"/>
      </rPr>
      <t xml:space="preserve"> 2024.1 (issued March 2025)</t>
    </r>
  </si>
  <si>
    <t>[Where research income that falls under IFRS 15 is material, the policy for determining performance obligations requires disclosure]</t>
  </si>
  <si>
    <t>Please send any comments to england.provider.accounts@nhs.net</t>
  </si>
  <si>
    <t>Where the trust opts to use this template as a basis for their annual accounts, links to the PFR file (and all other working papers) should be broken before uploading the file to the trust's provider portal (for both the draft and final accounts submission).  This will prevent #REF! errors appearing when NHS England attempts to view the accounts.  Links to the PFR file can be broken as follows:</t>
  </si>
  <si>
    <t>Within the 'Queries &amp; Connections' section, select 'Workbook Links'.</t>
  </si>
  <si>
    <t>In the dialogue box that appears, click the three dots at the right of the source file (the dummy file) and select 'Change Source'.</t>
  </si>
  <si>
    <t>Follow the instructions below to direct the links to your local TAC schedules.</t>
  </si>
  <si>
    <t>Prior year link added for API - variable</t>
  </si>
  <si>
    <t>Note 12.2</t>
  </si>
  <si>
    <t>24/25 change</t>
  </si>
  <si>
    <t>Reference to Public Contract Regulations removed</t>
  </si>
  <si>
    <t>Pension costs</t>
  </si>
  <si>
    <t>Note 10</t>
  </si>
  <si>
    <t>Pension costs note updated for known changes (template pension costs disclosure not expected from NHS BSA until early April).</t>
  </si>
  <si>
    <t>The last tab of this template, tab 'Staff report tables', contains tables for disclosures that should be included in the annual report and not the accounts (per the FT ARM paragraph 2.99 and GAM paragraph 3.125).</t>
  </si>
  <si>
    <r>
      <t xml:space="preserve">There are currently no headers and footers set in the template. The Trust may wish to insert the name of the Trust into the header - this is not currently done because of limitations in Excel not making it simple to link this to a cell for the user to edit. If you wish to add headers or footers, highlight the desired worksheets and edit the header/footer tab in the Page Setup box, which is accessible from the Page Layout tab of the ribbon &gt; Margins &gt; Custom margins &gt; Header and footer tab. These options can be set for each tab individually, or for a collection of sheets at once if these tabs are selected when the Page Setup options are amended. Please note that if these settings are changed with multiple sheets selected, all of the settings in the dialog box are applied to the selected sheets - including page orientation. Therefore to assist the user if you wish to change headers/footers for multiple sheets, sheets that are set to landscape orientation are coloured </t>
    </r>
    <r>
      <rPr>
        <sz val="11"/>
        <color theme="3" tint="0.39997558519241921"/>
        <rFont val="Calibri"/>
        <family val="2"/>
        <scheme val="minor"/>
      </rPr>
      <t xml:space="preserve">light blue </t>
    </r>
    <r>
      <rPr>
        <sz val="11"/>
        <color theme="1"/>
        <rFont val="Calibri"/>
        <family val="2"/>
        <scheme val="minor"/>
      </rPr>
      <t>for ease of identification.</t>
    </r>
  </si>
  <si>
    <t xml:space="preserve">In the dialog box that appears, select 'Break All'. </t>
  </si>
  <si>
    <r>
      <rPr>
        <b/>
        <u/>
        <sz val="9"/>
        <color rgb="FF0000FF"/>
        <rFont val="Arial"/>
        <family val="2"/>
      </rPr>
      <t>Updating links:</t>
    </r>
    <r>
      <rPr>
        <sz val="9"/>
        <color theme="1"/>
        <rFont val="Arial"/>
        <family val="2"/>
      </rPr>
      <t xml:space="preserve">
This file contains links to a dummy PFR file.  To update the links to your locally completed PFR select</t>
    </r>
    <r>
      <rPr>
        <sz val="9"/>
        <color rgb="FF0000FF"/>
        <rFont val="Arial"/>
        <family val="2"/>
      </rPr>
      <t xml:space="preserve"> 'Data'</t>
    </r>
    <r>
      <rPr>
        <sz val="9"/>
        <color theme="1"/>
        <rFont val="Arial"/>
        <family val="2"/>
      </rPr>
      <t xml:space="preserve"> on the ribbon and within the </t>
    </r>
    <r>
      <rPr>
        <sz val="9"/>
        <color rgb="FF0000FF"/>
        <rFont val="Arial"/>
        <family val="2"/>
      </rPr>
      <t>'Queries &amp; Connections'</t>
    </r>
    <r>
      <rPr>
        <sz val="9"/>
        <color theme="1"/>
        <rFont val="Arial"/>
        <family val="2"/>
      </rPr>
      <t xml:space="preserve"> section select</t>
    </r>
    <r>
      <rPr>
        <sz val="9"/>
        <color rgb="FF0000FF"/>
        <rFont val="Arial"/>
        <family val="2"/>
      </rPr>
      <t xml:space="preserve"> 'Workbook Links'</t>
    </r>
    <r>
      <rPr>
        <sz val="9"/>
        <color theme="1"/>
        <rFont val="Arial"/>
        <family val="2"/>
      </rPr>
      <t>.  In the dialogue box that appears, click the three dots at the right of the source file (the dummy file) and select</t>
    </r>
    <r>
      <rPr>
        <sz val="9"/>
        <color rgb="FF0000FF"/>
        <rFont val="Arial"/>
        <family val="2"/>
      </rPr>
      <t xml:space="preserve"> 'Change source'</t>
    </r>
    <r>
      <rPr>
        <sz val="9"/>
        <color theme="1"/>
        <rFont val="Arial"/>
        <family val="2"/>
      </rPr>
      <t>.  Then navigate to where your local PFR file is saved and select.  This will redirect all links in this workbook to your trust's PFR file.</t>
    </r>
  </si>
  <si>
    <t>[Disclose the judgements made by management, as required by IAS 1 paragraph 122. This should include judgements made in the application of IFRS 15 to specific contracts that significantly affect the determination of amount or timing of revenue recognised as required by paragraphs 123 to 126 of the standard, where not already disclosed within the accounting policy for revenue from contracts with customers.]</t>
  </si>
  <si>
    <t>Salman Desai</t>
  </si>
  <si>
    <t>Chief Executive</t>
  </si>
  <si>
    <r>
      <rPr>
        <sz val="9"/>
        <rFont val="Arial"/>
        <family val="2"/>
      </rPr>
      <t>These accounts have been prepared on a going concern basis. The financial reporting framework applicable to NHS bodies, derived from the HM Treasury Financial Reporting Manual, defines that the anticipated continued provision of the entity’s services in the public sector is normally sufficient evidence of going concern. The directors have a reasonable expectation that this will continue to be the case.</t>
    </r>
    <r>
      <rPr>
        <sz val="9"/>
        <color rgb="FFFF0000"/>
        <rFont val="Arial"/>
        <family val="2"/>
      </rPr>
      <t xml:space="preserve">
</t>
    </r>
  </si>
  <si>
    <t>Note 1.3 Revenue from contracts with customers</t>
  </si>
  <si>
    <t xml:space="preserve">The main source of income for the Trust is contracts with commissioners for health care services. Funding envelopes are set at an Integrated Care System (ICS) level. The majority of the Trust’s NHS income is earned from NHS commissioners, and we continue to operate under a block contract arrangement which covers PES, 111, and PTS services. </t>
  </si>
  <si>
    <t>Properties in the course of construction for service or administration purposes are carried at cost, less any impairment loss. Cost includes professional fees and, where capitalised in accordance with IAS 23, borrowings costs. Assets are revalued and depreciation commences when the assets are brought into use.</t>
  </si>
  <si>
    <t xml:space="preserve">Donated and grant funded property, plant and equipment assets are capitalised at their fair value on receipt. The donation/grant is credited to income at the same time, unless the donor has imposed a condition that the future economic benefits embodied in the grant are to be consumed in a manner specified by the donor, in which case, the donation/grant is deferred within liabilities and is carried forward to future financial years to the extent that the condition has not yet been met.
The donated and grant funded assets are subsequently accounted for in the same manner as other items of property, plant and equipment. </t>
  </si>
  <si>
    <t>Inventories are valued at the lower of cost and net realisable value. The cost of inventories is measured using  the first in, first out (FIFO) method.</t>
  </si>
  <si>
    <t>Financial liabilities classified as subsequently measured at amortised cost.</t>
  </si>
  <si>
    <r>
      <t>Financial assets are classified as subsequently measured at amortised cost</t>
    </r>
    <r>
      <rPr>
        <sz val="9"/>
        <color rgb="FF0070C0"/>
        <rFont val="Arial"/>
        <family val="2"/>
      </rPr>
      <t>,</t>
    </r>
  </si>
  <si>
    <t>Financial assets and financial liabilities at amortised cost are those held with the objective of collecting contractual cash flows and where cash flows are solely payments of principal and interest. This includes cash equivalents, contract and other receivables, trade and other payables, rights and obligations under lease arrangements and loans receivable and payable.</t>
  </si>
  <si>
    <t>Interest revenue or expense is calculated by applying the effective interest rate to the gross carrying amount of a financial asset or amortised cost of a financial liability and recognised in the Statement of Comprehensive Income and a financing income or expense.</t>
  </si>
  <si>
    <t xml:space="preserve">For all financial assets measured at amortised cost including lease receivables, contract receivables and contract assets, the Trust recognises an allowance for expected credit losses. </t>
  </si>
  <si>
    <t>The Trust does not apply the above recognition requirements to leases with a term of 12 months or less or to leases where the value of the underlying asset is below £5,000, excluding any irrecoverable VAT.  Lease payments associated with these leases are expensed on a straight-line basis over the lease term. Irrecoverable VAT on lease payments is expensed as it falls due.</t>
  </si>
  <si>
    <t>Contingent assets (that is, assets arising from past events whose existence will only be confirmed by one or more future events not wholly within the entity’s control) are not recognised as assets, but are disclosed in Note 35 where an inflow of economic benefits is probable.</t>
  </si>
  <si>
    <t>Contingent liabilities are not recognised, but are disclosed in Note 35, unless the probability of a transfer of economic benefits is remote.</t>
  </si>
  <si>
    <t>Note 1.19 Corporation tax</t>
  </si>
  <si>
    <t xml:space="preserve">Note 1.21 Foreign exchange </t>
  </si>
  <si>
    <t xml:space="preserve">Assets belonging to third parties in which the Trust has no beneficial interest (such as money held on behalf of patients) are not recognised in the accounts. However, they are disclosed in a separate note to the accounts in accordance with the requirements of HM Treasury’s FReM. </t>
  </si>
  <si>
    <t>Lease Accounting under IFRS16</t>
  </si>
  <si>
    <t>Revaluation of Property, Plant and Equipment</t>
  </si>
  <si>
    <t>Properties are revalued on periodic basis and tested annually for indicators of impairment. Judgements are required to make an assessment as to whether there is an indication of impairment. This includes examination of capital expenditure incurred in financial year to ascertain whether or not it has resulted in an increase in value of an asset. Advice has been provided by valuers employed by the Trust. If the actual results differ from the assumptions the value of PPE will be over or understated.</t>
  </si>
  <si>
    <t>Note 2 Operating Segments</t>
  </si>
  <si>
    <t>The Trust has judged that it only operates as one business segment, that of healthcare.</t>
  </si>
  <si>
    <t>Revenue recognised in the reporting period that was included within contract liabilities at the previous period end</t>
  </si>
  <si>
    <t>* Statutory Audit fees include 20% of non-recoverable VAT. Net audit fees are £100k (23/24 £78k).</t>
  </si>
  <si>
    <t>There is no limitation on auditor's liability for external audit work carried out for the financial years 2024/25 or 2023/24.</t>
  </si>
  <si>
    <t xml:space="preserve">                                                                                                                                                                                                                                                                                       
The Standard’s requirement to take impairments in all cases to reserves in the first instance does not apply.
Where impairments are posted to the revenue account and a revaluation reserve balance does exist, a transfer is to be made from Revaluation Reserve to the General Fund/I&amp;E Reserve. That transfer will be the lower of the total impairment or the balance available on the Revaluation Reserve. In 2023/24 four types of assets that suffered an impairment are estates, ICT, furniture and vehicles. The 2023/24 impairment on estates is attributable to the revaluation of estates. The revaluation impairment is due to the price variation and not consumption of economic value.</t>
  </si>
  <si>
    <t>Total Gross staff costs</t>
  </si>
  <si>
    <t>Valuation / gross cost at 1 April 2023 - brought forward</t>
  </si>
  <si>
    <t xml:space="preserve">Note 1.19 Climate change levy </t>
  </si>
  <si>
    <t xml:space="preserve">Note 1.20 Third party assets </t>
  </si>
  <si>
    <t xml:space="preserve">Historically the Trust has used the Capital Charges Estimates indices published by the Department of Health to revalue its assets. In 2008/09 these indices were discontinued and the Trust applied the % movement detailed in the updated forecast indices for assets issued by HM Treasury (ref: PES (2009) 02) which reflected the economic climate and negative pressure on prices. This was in line with guidance issued by the Department of Health. </t>
  </si>
  <si>
    <t xml:space="preserve">Under current rules all NHS bodies must have completed a full property revaluation every 5 years by 31 March, and that the most recent full valuation must be, for specialised property, on a MEA basis.                             </t>
  </si>
  <si>
    <t xml:space="preserve">All properties categorised as PPE have been split into land and buildings, and a remaining economic life provided. The componentisation elements of each building have been </t>
  </si>
  <si>
    <t xml:space="preserve"> - Structure;</t>
  </si>
  <si>
    <t xml:space="preserve"> - Windows and Doors;</t>
  </si>
  <si>
    <t xml:space="preserve"> - External Works;</t>
  </si>
  <si>
    <t xml:space="preserve"> - Roof; and</t>
  </si>
  <si>
    <t xml:space="preserve"> - Services, fixtures and fittings.</t>
  </si>
  <si>
    <t>Where provided, the valuers have relied on the site areas from North West Ambulance Service NHS Trust (NWAS).</t>
  </si>
  <si>
    <t>Where no site area has been provided, valuers sought to ascertain Land Registry plans of the site from NWAS and then measured the site using Ordnance Survey plans in accordance with observed boundaries.</t>
  </si>
  <si>
    <t>The properties were inspected internally and where access was not possible, properties were inspected externally.</t>
  </si>
  <si>
    <t>The estimated useful lives of the Trust's property, plant and equipment are as follows:</t>
  </si>
  <si>
    <t>Min Life (Years)</t>
  </si>
  <si>
    <t>Max Life (Years)</t>
  </si>
  <si>
    <t>Buildings</t>
  </si>
  <si>
    <t>Plant &amp; Machinery</t>
  </si>
  <si>
    <t>Transport Equipment</t>
  </si>
  <si>
    <t>Information Technology</t>
  </si>
  <si>
    <t>Furniture and Fittings</t>
  </si>
  <si>
    <t xml:space="preserve">Of which payables to NHS and DHSC group bodies: </t>
  </si>
  <si>
    <t>The Trust’s treasury management operations are carried out by the finance department, within parameters defined formally within the Trust’s standing financial instructions and policies agreed by the board of directors.  Trust treasury activity is subject to review by the Trust’s internal auditors.</t>
  </si>
  <si>
    <t>Currency risk</t>
  </si>
  <si>
    <t>The Trust is principally a domestic organisation with the great majority of transactions, assets and liabilities being in the UK and sterling based.  The Trust has no overseas operations.  The Trust therefore has low exposure to currency rate fluctuations.</t>
  </si>
  <si>
    <t>Interest rate risk</t>
  </si>
  <si>
    <t>The Trust can borrow from government for capital expenditure, subject to affordability as confirmed by NHS England.  The borrowings are for 1 – 25 years, in line with the life of the associated assets, and interest is charged at the National Loans Fund rate, fixed for the life of the loan.  The Trust therefore has low exposure to interest rate fluctuations.</t>
  </si>
  <si>
    <t>The Trust may also borrow from government for revenue financing subject to approval by NHS England.  Interest rates are confirmed by the Department of Health and Social Care (the lender) at the point borrowing is undertaken.</t>
  </si>
  <si>
    <t>The Trust therefore has low exposure to interest rate fluctuations.</t>
  </si>
  <si>
    <t>Credit risk</t>
  </si>
  <si>
    <t>The majority of the Trust’s revenue comes from contracts with other public sector bodies therefore the Trust has low exposure to credit risk.  The maximum exposures as at 31 March 2024 are in receivables from customers, as disclosed in the trade and other receivables note.</t>
  </si>
  <si>
    <t>Liquidity Risk</t>
  </si>
  <si>
    <t>The Trust’s operating costs are incurred under contracts with ICBs , which are financed from resources voted annually by Parliament .  The Trust funds its capital expenditure from available cash funds .  The Trust is not, therefore, exposed to significant liquidity risks.</t>
  </si>
  <si>
    <t>During the year none of the Department of Health and Social Care Ministers, Trust Board of Directors or members of the key management staff, or parties related to any of them, has undertaken any material transactions with North West Ambulance Service NHS Trust.</t>
  </si>
  <si>
    <t>The Department of Health and Social Care is regarded as a related party.  During the year 2023/24 the Trust has had a significant number of material transactions with the Department, and with other entities for which the Department is regarded as the parent Department.  For example :</t>
  </si>
  <si>
    <t>Expenditure with Related Party</t>
  </si>
  <si>
    <t>Income from Related Party</t>
  </si>
  <si>
    <t>Amounts owed to Related Party</t>
  </si>
  <si>
    <t>Amounts due from Related Party</t>
  </si>
  <si>
    <t>ICBs</t>
  </si>
  <si>
    <t>NHS Foundation Trusts</t>
  </si>
  <si>
    <t>NHS Trusts</t>
  </si>
  <si>
    <t>NHS Resolution</t>
  </si>
  <si>
    <t>Care Quality Commission</t>
  </si>
  <si>
    <t>NHS Property Services</t>
  </si>
  <si>
    <t>Related Party  balances in  2023/24</t>
  </si>
  <si>
    <t>Doubtful Debt</t>
  </si>
  <si>
    <t>Carrying value of Trust's land and buildings at 31 March 2025 is £44m. If the valuation of land and building would have increased by 10% then the value would have been £4m higher.</t>
  </si>
  <si>
    <t>98% (£544m) of the Trust's income in 2024/25 (2023/24 £503m, 98%) is received from NHS organisations such as Commissioners for NHS patient care services.</t>
  </si>
  <si>
    <t xml:space="preserve">Past and present employees are covered by the provisions of the NHS Pension Schemes. Details of the benefits payable and rules of the schemes can be found on the NHS Pensions website at www.nhsbsa.nhs.uk/pensions. Both the 1995/2008 and 2015 schemes are accounted for, and the scheme liability valued, as a single combined scheme. Both are unfunded defined benefit schemes that cover NHS employers, GP practices and other bodies, allowed under the direction of the Secretary of State for Health and Social Care in England and Wales. They are not designed to be run in a way that would enable NHS bodies to identify their share of the underlying scheme assets and liabilities. Therefore, each scheme is accounted for as if it were a defined contribution scheme: the cost to the NHS body of participating in each scheme is taken as equal to the contributions payable to that scheme for the accounting period.  </t>
  </si>
  <si>
    <t>In order that the defined benefit obligations recognised in the financial statements do not differ materially from those that would be determined at the reporting date by a formal actuarial valuation, the FReM requires that “the period between formal valuations shall be four years, with approximate assessments in intervening years”. 
An outline of these follows:</t>
  </si>
  <si>
    <t>A valuation of scheme liability is carried out annually by the scheme actuary (currently the Government Actuary’s Department) as at the end of the reporting period. This utilises an actuarial assessment for the previous accounting period in conjunction with updated membership and financial data for the current reporting period, and is accepted as providing suitably robust figures for financial reporting purposes. The valuation of the scheme liability as at 31 March 2025, is based on valuation data as at 31 March 2023, updated to 31 March 2025 with summary global member and accounting data. In undertaking this actuarial assessment, the methodology prescribed in IAS 19, relevant FReM interpretations, and the discount rate prescribed by HM Treasury have also been used.</t>
  </si>
  <si>
    <t>The latest assessment of the liabilities of the scheme is contained in the Statement by the Actuary, which forms part of the annual NHS Pension Scheme Annual Report and Accounts. These accounts can be viewed on the NHS Pensions website and are published annually. Copies can also be obtained from The Stationery Office.</t>
  </si>
  <si>
    <t xml:space="preserve">The purpose of this valuation is to assess the level of liability in respect of the benefits due under the schemes (considering recent demographic experience), and to recommend the contribution rate payable by employers. </t>
  </si>
  <si>
    <t>The latest actuarial valuation undertaken for the NHS Pension Scheme was completed as at 31 March 2020. The results of this valuation set the employer contribution rate payable from 1 April 2024 to 23.7% of pensionable pay. The core cost cap cost of the scheme was calculated to be outside of the 3% cost cap corridor as at 31 March 2020. However, when the wider economic situation was taken into account through the economic cost cap cost of the scheme, the cost cap corridor was not similarly breached. As a result, there was no impact on the member benefit structure or contribution rates.</t>
  </si>
  <si>
    <t xml:space="preserve">The 2024 actuarial valuation is currently being prepared and will be published before new contribution rates are implemented from April 2027. </t>
  </si>
  <si>
    <t>Contingent assets (that is, assets arising from past events whose existence will only be confirmed by one or more future events not wholly within the entity’s control) are not recognised as assets, but are disclosed in Note 30 where an inflow of economic benefits is probable.</t>
  </si>
  <si>
    <t>Contingent liabilities are not recognised, but are disclosed in Note 30, unless the probability of a transfer of economic benefits is remote.</t>
  </si>
  <si>
    <t>Note 1.16 Contingencies Continued</t>
  </si>
  <si>
    <t>Deferred income?</t>
  </si>
  <si>
    <t>Lease payments for short term leases, leases of low value underlying assets and variable lease payments not dependent on an index or rate are recognised in operating expenditure.</t>
  </si>
  <si>
    <t>The majority of the Trust’s revenue comes from contracts with other public sector bodies therefore the Trust has low exposure to credit risk.  The maximum exposures as at 31 March 2025 are in receivables from customers, as disclosed in the trade and other receivables note.</t>
  </si>
  <si>
    <t>The provision relating to pensions injury benefits consists of £13,160k (2023/24 £13,662k) relating to claims for Personal Injury Benefits recharged  by the NHS Pensions Agency. The amounts detailed are amounts that are paid annually to the individuals. The amounts are calculated by the pensions agency following assessment of the individuals claims. The provision includes a prudent assessment of known claims that may result in future liability.</t>
  </si>
  <si>
    <t>***Additional funding was made available directly to providers by NHS England in 2023/24 for implementing the backdated element of pay awards where government offers were finalised after the end of the financial year. NHS Payment Scheme prices and API contracts are updated for the weighted uplift in in-year pay costs when awards are finalised.</t>
  </si>
  <si>
    <t>Additional pension contribution central funding*</t>
  </si>
  <si>
    <t>The Department of Health and Social Care is regarded as a related party.  During the year 2024/25 the Trust has had a significant number of material transactions with the Department, and with other entities for which the Department is regarded as the parent Department.  For example :</t>
  </si>
  <si>
    <t>IFRS 18 Presentation and Disclosure in Financial Statements - The Standard is effective for accounting periods beginning on or after 1 January 2027. The Standard is not yet UK endorsed and not yet adopted by the FReM. Early adoption is not permitted. The expected impact of applying the standard in future periods has not yet been assessed.</t>
  </si>
  <si>
    <t>Note 1.25 Sources of estimation uncertainty - Continued</t>
  </si>
  <si>
    <t xml:space="preserve">The impact of applying these changes in future periods has not yet been assessed. PPE and right of use assets currently subject to revaluation have a total book value of £44m as at 31 March 2025. </t>
  </si>
  <si>
    <t>*Increases to the employer contribution rate for NHS pensions since 1 April 2019 have been funded by NHS England. NHS providers continue to pay at the former rate of 14.3% with the additional amount being paid over by NHS England on providers' behalf. The full cost of employer contributions 23.7% in 2024/25 (2023/24: 20.6%) and related NHS England funding 9.4% in 2024/25 (2023/24: 6.3%) have been recognised in these accounts.</t>
  </si>
  <si>
    <t>Within legal claims £1,512k (2023/24 £924k) represents an amount payable quarterly to an individual.  The remaining £283k (2023/24 £295k) relates to Employers Liability Claims recharged monthly by NHS Resolution as and when cases are successful for which the Trust pays up to the first £10k.</t>
  </si>
  <si>
    <t xml:space="preserve">Equal Pay (Agenda for Change) provision relates to expected back-pay liability for Agenda for Change £6,390k (2023/24 £2,439k), which is based upon expected assimilation using national profiles for staff and the associated payscales published within the Agenda for Change Terms and Conditions. Once these staff have assimilated to Agenda for Change contracts the Trust is obliged to pay outstanding arrears (based on national profiles) and have been included within provisions. All outstanding cases are proceeding using the agreed Agenda for Change procedures. </t>
  </si>
  <si>
    <t xml:space="preserve">In order to establish the correct estates value the Trust had its assets revalued as at 31 March 2025. Land and buildings were revalued at £43,032k which was £1,186k higher than the carrying value on the Statement of Financial Position (SOFP). This created an increase in revaluation reserve of £1,800k and a charge to operating expenses  of £614k. </t>
  </si>
  <si>
    <t xml:space="preserve">A number of vehicles were impaired due to changes in their Market Value, the total value of these impairments was £323k. </t>
  </si>
  <si>
    <t>There are 4 stations that are classed as an asset held for sale. The stations in this category are Thornton, Ramsbottom, Wesham and Fleetwood.Three stations being disposed of are part of the Blackpool Hub project. They are all empty and being actively marketed.  Lytham was sold duting the financial year.</t>
  </si>
  <si>
    <t>The Trust does not have any discontinued operations.</t>
  </si>
  <si>
    <t>Property, plant and equipment is capitalised where:    
• it is held for use in delivering services or for administrative purposes
• it is probable that future economic benefits will flow to, or service potential be provided to, the trust
• it is expected to be used for more than one financial year 
• the cost of the item can be measured reliably
• the item has cost at least £5,000, or
• collectively, a number of items have a cost of at least £5,000 and individually have cost of more than £250, where the assets are functionally interdependent, had broadly simultaneous purchase dates, are anticipated to have similar disposal dates and are under single managerial control.
Where a large asset, for example a building, includes a number of components with significantly different asset lives, eg, plant and equipment, then these components are treated as separate assets and depreciated over their own useful lives.</t>
  </si>
  <si>
    <t xml:space="preserve">Valuation guidance issued by the Royal Institute of Chartered Surveyors states that valuations are performed net of VAT where the VAT is recoverable by the entity. </t>
  </si>
  <si>
    <t xml:space="preserve">Items of property, plant and equipment are depreciated over their remaining useful lives in a manner consistent with the consumption of economic or service delivery benefits. Freehold land is considered to have an infinite life and is not depreciated. 
Property, plant and equipment which has been reclassified as ‘held for sale’ cease to be depreciated upon the reclassification. Assets in the course of construction are not depreciated until the asset is brought into use. </t>
  </si>
  <si>
    <t>Management made a decision to provide for the doubtful debt, where debt owed to the trust is owed a significant debt of £1.3m by the supplier and there are indications that it will not be repaid.</t>
  </si>
  <si>
    <t>Remove net impact of inventories received from DHSC group bodies for COVID response</t>
  </si>
  <si>
    <t xml:space="preserve">NHS Resolution operates a risk pooling scheme under which the trust pays an annual contribution to NHS Resolution, which, in return, settles all clinical negligence claims. Although NHS Resolution is administratively responsible for all clinical negligence cases, the legal liability remains with the Trust. The total value of clinical negligence provisions carried by NHS Resolution on behalf of the trust is disclosed at Note 27  but is not recognised in the Trust’s accounts. </t>
  </si>
  <si>
    <t>Contingent assets (that is, assets arising from past events whose existence will only be confirmed by one or more future events not wholly within the entity’s control) are not recognised as assets, but are disclosed in Note 28 where an inflow of economic benefits is probable.</t>
  </si>
  <si>
    <t>Contingent liabilities are not recognised, but are disclosed in Note 28, unless the probability of a transfer of economic benefits is remote.</t>
  </si>
  <si>
    <t>Carrying value of Trust's land and buildings at 31 March 2025 is £43m. If the valuation of land and building would have increased by 10% then the value would have been £4m higher.</t>
  </si>
  <si>
    <t>During 2024/25 2 properties were made available for sale. They are 2 stations included as per note 21. Prior to becoming Held for Sale a valuation review was carried and they were revalued to their market value which resulted in an increase in their value. This resulted in £83k reversal in impairments.</t>
  </si>
  <si>
    <t>Income generated from subleasing right of use assets is £0k and is included within revenue from operating leases in note 4.</t>
  </si>
  <si>
    <t xml:space="preserve">During 2024/25 there were 7 early retirements from the trust agreed on the grounds of ill-health (17 in the year ended 31 March 2024).  The estimated additional pension liabilities of these ill-health retirements is £763k (£1,145k in 2023/24).  </t>
  </si>
  <si>
    <t>£0</t>
  </si>
  <si>
    <t>Accounts</t>
  </si>
  <si>
    <t>Inventories recognised in expenses for the year were £884k (2023/24: £1,133k).  Write-down of inventories recognised as expenses for the year were £0k (2023/24: £0k).</t>
  </si>
  <si>
    <t>In response to the COVID 19 pandemic, the Department of Health and Social Care centrally procured personal protective equipment and passed these to NHS providers free of charge. During 2023/24 the Trust received £78k of items purchased by DHSC. Distribution of inventory by the Department ceased in March 2024.</t>
  </si>
  <si>
    <t>At 31 March 2025, £26,338k was included in provisions of NHS Resolution in respect of clinical negligence liabilities of North West Ambulance Service NHS Trust (31 March 2024: £30,467k).</t>
  </si>
  <si>
    <t>13, 14, 15</t>
  </si>
  <si>
    <t>Financial assets and financial liabilities are initially measured at fair value plus or minus directly attributable transaction costs except where the asset or liability is not measured at fair value through profit and loss. Fair value is taken as the transaction price, or otherwise determined by reference to quoted market prices or valuation techniques.</t>
  </si>
  <si>
    <t>IFRS 14 Regulatory Deferral Accounts: Not yet United Kingdom-endorsed. Applies to first time adopters of IFRS after 1 January 2016. Therefore not applicable to DH group bodies.</t>
  </si>
  <si>
    <t>Future change to the Group Accounting Manual (GAM)</t>
  </si>
  <si>
    <t>Audit Services - statutory audit</t>
  </si>
  <si>
    <t>This year the Trust's land and building assets had a full valuation as at the 31 March 2025, using an independent external valuer Deloitte LLP. The revaluation exercise was undertaken by the valuers who have visited each of Trust's properties in order to establish the fair value of the Trust's estates as at the 31 March 2025. The full revaluation means that all sites were visited by valuer during the revaluation exercise. The basis of valuation for all assets under IFRS is Fair Value. Assets that are classified as (Property, Plant and Equipment) PPE and have been valued to Fair Value assuming a continuation of their existing use. This is synonymous with Existing Use Value in the Red Book. The valuation is fully compliant with the requirements of the RICS Valuation Standards - Global Standard 2022 including UK national supplement (“The Red Book”). The signatory to the valuation is Philip Parnel MRICS Partner at Deloitte LLP.</t>
  </si>
  <si>
    <t>Lease liabilities are included within borrowings in the statement of financial position. A breakdown of borrowings is disclosed in note 25.1.</t>
  </si>
  <si>
    <t>The carrying value is a reasonalbe approximation of fair value.</t>
  </si>
  <si>
    <t>Note 1.13 Leases - Continued</t>
  </si>
  <si>
    <t>Note 1.19 Losses and special payments</t>
  </si>
  <si>
    <t>Note 1.6 Property, plant and equipment - Continued</t>
  </si>
  <si>
    <t xml:space="preserve">Changes to non-investment asset valuation – Following a thematic review of non-current asset valuations for financial reporting in the public sector, HM Treasury has made a number of changes to valuation frequency, valuation methodology and classification which are effective in the public sector from 1 April 2025 with a 5 year transition period. NHS bodies are adopting these changes to an alternative timeline. 
</t>
  </si>
  <si>
    <t>IFRS 19 Subsidiaries without Public Accountability: Disclosures - The Standard is effective for accounting periods beginning on or after 1 January 2027. The Standard is not yet UK endorsed and not yet adopted by the FReM. Early adoption is not permitted. The expected impact of applying the standard in future periods has not yet been assessed.</t>
  </si>
  <si>
    <t>The expected contributions to the pension scheme for 25/26 estimated to be £33.6m.</t>
  </si>
  <si>
    <t>IFRS 19 Subsidiaries without Public Accountability</t>
  </si>
  <si>
    <t xml:space="preserve"> Non-current Property, Plant and Equipment asset valuation relating to land and buildings are based on the Deloitte's valuation - see note 14. The uncertainty over future changes to estimations of the carrying amount of land and buildings is mitigated by the annual independent valuation of these assets. The estimation methods used by the independent valuer draw upon, but are not limited to, relevant or comparable transactions in the market place and industry recognised building construction indices.   A simple sensitivity analysis indicates that a 10% movement in these estimations would increase or decrease the valuation of assets by £4m. A 10%  change would result in an increase or decrease in PDC dividend payable of £70k.</t>
  </si>
  <si>
    <r>
      <rPr>
        <b/>
        <sz val="9"/>
        <color theme="1"/>
        <rFont val="Arial"/>
        <family val="2"/>
      </rPr>
      <t>Information on reserves
Public dividend capital</t>
    </r>
    <r>
      <rPr>
        <sz val="9"/>
        <color theme="1"/>
        <rFont val="Arial"/>
        <family val="2"/>
      </rPr>
      <t xml:space="preserve">
Public dividend capital (PDC) is a type of public sector equity finance based on the excess of assets over liabilities at the time of establishment of the predecessor NHS organisation. Additional PDC may also be issued to trusts by the Department of Health and Social Care. A charge, reflecting the cost of capital utilised by the trust, is payable to the Department of Health, as the public dividend capital dividend.
</t>
    </r>
    <r>
      <rPr>
        <b/>
        <sz val="9"/>
        <color theme="1"/>
        <rFont val="Arial"/>
        <family val="2"/>
      </rPr>
      <t xml:space="preserve">
Revaluation reserve</t>
    </r>
    <r>
      <rPr>
        <sz val="9"/>
        <color theme="1"/>
        <rFont val="Arial"/>
        <family val="2"/>
      </rPr>
      <t xml:space="preserve">
Increases in asset values arising from revaluations are recognised in the revaluation reserve, except where, and to the extent that, they reverse impairments previously recognised in operating expenses, in which case they are recognised in operating income. Subsequent downward movements in asset valuations are charged to the revaluation reserve to the extent that a previous gain was recognised unless the downward movement represents a clear consumption of economic benefit or a reduction in service potential.
</t>
    </r>
    <r>
      <rPr>
        <b/>
        <sz val="9"/>
        <color theme="1"/>
        <rFont val="Arial"/>
        <family val="2"/>
      </rPr>
      <t xml:space="preserve">
Income and expenditure reserve</t>
    </r>
    <r>
      <rPr>
        <sz val="9"/>
        <color theme="1"/>
        <rFont val="Arial"/>
        <family val="2"/>
      </rPr>
      <t xml:space="preserve">
The balance of this reserve is the accumulated surpluses and deficits of the Trust.</t>
    </r>
  </si>
  <si>
    <t>Changes to subsequent measurement of intangible assets and PPE classification / terminology to be implemented for NHS bodies from 1 April 2025:
•	Withdrawal of the revaluation model for intangible assets. Carrying values of existing intangible assets measured under a previous revaluation will be taken forward as deemed historic cost.
•	Removal of the distinction between specialised and non-specialised assets held for their service potential. Assets will be classified according to whether they are held for their operational capacity. 
These changes are not expected to have a material impact on these financial statements.
Changes to valuation cycles and methodology to be implemented for NHS bodies in later periods:
•	A mandated quinquennial revaluation frequency (or rolling programme) supplemented by annual indexation in the intervening years.
•	Removal of the alternative site assumption for buildings valued at depreciated replacement cost on a modern equivalent asset basis. The approach for land has not yet been finalised by HM Treasury.</t>
  </si>
  <si>
    <t xml:space="preserve">As the majority of the Trust's income comes from contracts with other public sector bodies, the Trust has low exposure to credit risk. </t>
  </si>
  <si>
    <t>Note 1.8 Financial assets and financial liabilities - Continued</t>
  </si>
  <si>
    <t>Note 1.11 Contingencies</t>
  </si>
  <si>
    <t>Note 1.12 Public dividend capital</t>
  </si>
  <si>
    <t>Note 1.12 Public dividend capital - Continued</t>
  </si>
  <si>
    <t xml:space="preserve">Note 1.13 Value added tax </t>
  </si>
  <si>
    <t>IFRS 17 Insurance Contracts – The Standard is effective for accounting periods beginning on or after 1 January 2023. IFRS 17 has been adopted by the FReM from 1 April 2025. Adoption of the Standard for NHS bodies will therefore be in 2025/26. The Standard revises the accounting for insurance contracts for the issuers of insurance. Application of this standard from 2025/26 is not expected to have a material impact on the financial statements.</t>
  </si>
  <si>
    <t>**The largest element of the Other income relates to provision of 111 service and totals £35m</t>
  </si>
  <si>
    <t>Other income**</t>
  </si>
  <si>
    <t>Disposals / derecognition*</t>
  </si>
  <si>
    <t>Property, plant and equipment*</t>
  </si>
  <si>
    <t xml:space="preserve">Right of Use (ROU) assets are held at the cost model as it is an appropriate proxy to the current value, we made an assesment that on asset by asset basis that the rent represents the market conditions. </t>
  </si>
  <si>
    <t>Management has determined that assets are valued on a cost basis because leases either contain frequent regular rent reviews or linked to RPI and rent represents current market conditions.</t>
  </si>
  <si>
    <t>* During current financial year an assets verification exercise was undertaken and some IT assets were identified as not in use, this was reflected in the accounts showing as a a disposal/derecongition with net value of £164k.</t>
  </si>
  <si>
    <t>New allowances arising*</t>
  </si>
  <si>
    <t>*During the financial year, the Trust have identified a large unsecure debtor that contains significant risk as such a specific provision for the expected credit losses has been made.</t>
  </si>
  <si>
    <t>* The largest element of capital commitment relates to vehicles conversions and totals £7.6m</t>
  </si>
  <si>
    <t>The notes on pages 6 to 31 form part of these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</si>
</sst>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Red]\-&quot;£&quot;#,##0"/>
    <numFmt numFmtId="43" formatCode="_-* #,##0.00_-;\-* #,##0.00_-;_-* &quot;-&quot;??_-;_-@_-"/>
    <numFmt numFmtId="164" formatCode="#,##0;[Red]\(#,##0\)"/>
    <numFmt numFmtId="165" formatCode="_-* #,##0_-;\-* #,##0_-;_-* &quot;-&quot;??_-;_-@_-"/>
    <numFmt numFmtId="166" formatCode="#,##0\ ;\(#,##0\);\-\ "/>
    <numFmt numFmtId="167" formatCode="0.0%;\(0.0%\)"/>
    <numFmt numFmtId="168" formatCode="#,##0;\(#,##0\)"/>
    <numFmt numFmtId="169" formatCode="#,##0;[Red]\(#,##0\)\ "/>
  </numFmts>
  <fonts count="60"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9"/>
      <name val="Arial"/>
      <family val="2"/>
    </font>
    <font>
      <sz val="9"/>
      <name val="Arial"/>
      <family val="2"/>
    </font>
    <font>
      <sz val="9"/>
      <color theme="1"/>
      <name val="Arial"/>
      <family val="2"/>
    </font>
    <font>
      <b/>
      <sz val="9"/>
      <color theme="1"/>
      <name val="Arial"/>
      <family val="2"/>
    </font>
    <font>
      <sz val="10"/>
      <color theme="1"/>
      <name val="Arial"/>
      <family val="2"/>
    </font>
    <font>
      <sz val="9"/>
      <color indexed="8"/>
      <name val="Arial"/>
      <family val="2"/>
    </font>
    <font>
      <b/>
      <sz val="9"/>
      <color indexed="8"/>
      <name val="Arial"/>
      <family val="2"/>
    </font>
    <font>
      <b/>
      <sz val="11"/>
      <color theme="1"/>
      <name val="Calibri"/>
      <family val="2"/>
      <scheme val="minor"/>
    </font>
    <font>
      <b/>
      <sz val="10"/>
      <color theme="1"/>
      <name val="Arial"/>
      <family val="2"/>
    </font>
    <font>
      <sz val="11"/>
      <color theme="0"/>
      <name val="Calibri"/>
      <family val="2"/>
      <scheme val="minor"/>
    </font>
    <font>
      <i/>
      <sz val="9"/>
      <color theme="1"/>
      <name val="Arial"/>
      <family val="2"/>
    </font>
    <font>
      <sz val="9"/>
      <color theme="0"/>
      <name val="Arial"/>
      <family val="2"/>
    </font>
    <font>
      <b/>
      <sz val="9"/>
      <color theme="0"/>
      <name val="Arial"/>
      <family val="2"/>
    </font>
    <font>
      <sz val="9"/>
      <color rgb="FFFF0000"/>
      <name val="Arial"/>
      <family val="2"/>
    </font>
    <font>
      <b/>
      <sz val="9"/>
      <color rgb="FFFF0000"/>
      <name val="Arial"/>
      <family val="2"/>
    </font>
    <font>
      <i/>
      <sz val="9"/>
      <color rgb="FFFF0000"/>
      <name val="Arial"/>
      <family val="2"/>
    </font>
    <font>
      <sz val="11"/>
      <color rgb="FFFF0000"/>
      <name val="Calibri"/>
      <family val="2"/>
      <scheme val="minor"/>
    </font>
    <font>
      <b/>
      <sz val="12"/>
      <color theme="1"/>
      <name val="Calibri"/>
      <family val="2"/>
      <scheme val="minor"/>
    </font>
    <font>
      <i/>
      <sz val="11"/>
      <color theme="1"/>
      <name val="Calibri"/>
      <family val="2"/>
      <scheme val="minor"/>
    </font>
    <font>
      <sz val="11"/>
      <color theme="1"/>
      <name val="Calibri"/>
      <family val="2"/>
    </font>
    <font>
      <b/>
      <u/>
      <sz val="9"/>
      <color theme="1"/>
      <name val="Arial"/>
      <family val="2"/>
    </font>
    <font>
      <i/>
      <sz val="9"/>
      <color theme="0" tint="-0.499984740745262"/>
      <name val="Arial"/>
      <family val="2"/>
    </font>
    <font>
      <sz val="9"/>
      <color rgb="FF0000FF"/>
      <name val="Arial"/>
      <family val="2"/>
    </font>
    <font>
      <sz val="11"/>
      <name val="Calibri"/>
      <family val="2"/>
      <scheme val="minor"/>
    </font>
    <font>
      <b/>
      <u/>
      <sz val="9"/>
      <color rgb="FF0000FF"/>
      <name val="Arial"/>
      <family val="2"/>
    </font>
    <font>
      <b/>
      <sz val="18"/>
      <color theme="4"/>
      <name val="Calibri"/>
      <family val="2"/>
      <scheme val="minor"/>
    </font>
    <font>
      <b/>
      <sz val="9"/>
      <color rgb="FF0000FF"/>
      <name val="Arial"/>
      <family val="2"/>
    </font>
    <font>
      <b/>
      <sz val="12"/>
      <color theme="4"/>
      <name val="Calibri"/>
      <family val="2"/>
      <scheme val="minor"/>
    </font>
    <font>
      <b/>
      <i/>
      <sz val="11"/>
      <color rgb="FFFF0000"/>
      <name val="Arial"/>
      <family val="2"/>
    </font>
    <font>
      <sz val="11"/>
      <color theme="3" tint="0.39997558519241921"/>
      <name val="Calibri"/>
      <family val="2"/>
      <scheme val="minor"/>
    </font>
    <font>
      <b/>
      <sz val="13"/>
      <color theme="1"/>
      <name val="Arial"/>
      <family val="2"/>
    </font>
    <font>
      <b/>
      <sz val="16"/>
      <color rgb="FF00B050"/>
      <name val="Arial"/>
      <family val="2"/>
    </font>
    <font>
      <sz val="18"/>
      <color rgb="FF00B050"/>
      <name val="Calibri"/>
      <family val="2"/>
      <scheme val="minor"/>
    </font>
    <font>
      <sz val="10"/>
      <color rgb="FF00B050"/>
      <name val="Arial"/>
      <family val="2"/>
    </font>
    <font>
      <u/>
      <sz val="9"/>
      <color rgb="FFFF0000"/>
      <name val="Arial"/>
      <family val="2"/>
    </font>
    <font>
      <sz val="11"/>
      <color rgb="FF0070C0"/>
      <name val="Calibri"/>
      <family val="2"/>
      <scheme val="minor"/>
    </font>
    <font>
      <sz val="9"/>
      <color rgb="FF0070C0"/>
      <name val="Arial"/>
      <family val="2"/>
    </font>
    <font>
      <b/>
      <sz val="9"/>
      <color rgb="FF0070C0"/>
      <name val="Arial"/>
      <family val="2"/>
    </font>
    <font>
      <b/>
      <sz val="14"/>
      <color rgb="FF00B050"/>
      <name val="Arial"/>
      <family val="2"/>
    </font>
    <font>
      <b/>
      <sz val="11"/>
      <color theme="0"/>
      <name val="Calibri"/>
      <family val="2"/>
      <scheme val="minor"/>
    </font>
    <font>
      <i/>
      <sz val="9"/>
      <color rgb="FF0070C0"/>
      <name val="Arial"/>
      <family val="2"/>
    </font>
    <font>
      <i/>
      <sz val="9"/>
      <name val="Arial"/>
      <family val="2"/>
    </font>
    <font>
      <sz val="8"/>
      <name val="Calibri"/>
      <family val="2"/>
      <scheme val="minor"/>
    </font>
    <font>
      <u/>
      <sz val="11"/>
      <color theme="10"/>
      <name val="Calibri"/>
      <family val="2"/>
      <scheme val="minor"/>
    </font>
    <font>
      <sz val="11"/>
      <color rgb="FF0000FF"/>
      <name val="Calibri"/>
      <family val="2"/>
      <scheme val="minor"/>
    </font>
    <font>
      <u/>
      <sz val="9"/>
      <color theme="10"/>
      <name val="Arial"/>
      <family val="2"/>
    </font>
    <font>
      <b/>
      <sz val="12"/>
      <color theme="3" tint="0.39997558519241921"/>
      <name val="Calibri"/>
      <family val="2"/>
      <scheme val="minor"/>
    </font>
    <font>
      <i/>
      <u/>
      <sz val="10"/>
      <color theme="1"/>
      <name val="Arial"/>
      <family val="2"/>
    </font>
    <font>
      <sz val="10"/>
      <name val="Arial"/>
      <family val="2"/>
    </font>
    <font>
      <i/>
      <u/>
      <sz val="9"/>
      <name val="Arial"/>
      <family val="2"/>
    </font>
    <font>
      <sz val="10"/>
      <color theme="1"/>
      <name val="Calibri"/>
      <family val="2"/>
      <scheme val="minor"/>
    </font>
    <font>
      <sz val="10"/>
      <name val="Times New Roman"/>
      <family val="1"/>
    </font>
    <font>
      <b/>
      <sz val="10"/>
      <name val="Arial"/>
      <family val="2"/>
    </font>
    <font>
      <i/>
      <u/>
      <sz val="9"/>
      <color theme="1"/>
      <name val="Arial"/>
      <family val="2"/>
    </font>
    <font>
      <b/>
      <sz val="11"/>
      <color theme="1"/>
      <name val="Arial"/>
      <family val="2"/>
    </font>
  </fonts>
  <fills count="17">
    <fill>
      <patternFill patternType="none"/>
    </fill>
    <fill>
      <patternFill patternType="gray125"/>
    </fill>
    <fill>
      <patternFill patternType="solid">
        <fgColor theme="4"/>
        <bgColor theme="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99"/>
        <bgColor indexed="64"/>
      </patternFill>
    </fill>
    <fill>
      <patternFill patternType="solid">
        <fgColor rgb="FF00B050"/>
        <bgColor indexed="64"/>
      </patternFill>
    </fill>
    <fill>
      <patternFill patternType="solid">
        <fgColor rgb="FF00FFFF"/>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00CC99"/>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right/>
      <top style="thin">
        <color indexed="64"/>
      </top>
      <bottom style="double">
        <color indexed="64"/>
      </bottom>
      <diagonal/>
    </border>
    <border>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right/>
      <top style="thin">
        <color theme="0" tint="-0.34998626667073579"/>
      </top>
      <bottom style="thin">
        <color theme="0" tint="-0.34998626667073579"/>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bottom style="thin">
        <color indexed="64"/>
      </bottom>
      <diagonal/>
    </border>
    <border>
      <left/>
      <right/>
      <top style="thin">
        <color indexed="64"/>
      </top>
      <bottom/>
      <diagonal/>
    </border>
  </borders>
  <cellStyleXfs count="18">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166" fontId="8" fillId="0" borderId="11">
      <alignment horizontal="right"/>
    </xf>
    <xf numFmtId="166" fontId="8" fillId="0" borderId="10">
      <alignment horizontal="right"/>
    </xf>
    <xf numFmtId="0" fontId="7" fillId="0" borderId="0">
      <alignment wrapText="1"/>
    </xf>
    <xf numFmtId="0" fontId="8" fillId="0" borderId="0">
      <alignment wrapText="1"/>
    </xf>
    <xf numFmtId="166" fontId="7" fillId="0" borderId="0">
      <alignment horizontal="right"/>
    </xf>
    <xf numFmtId="166" fontId="8" fillId="0" borderId="0">
      <alignment horizontal="right"/>
    </xf>
    <xf numFmtId="9" fontId="1" fillId="0" borderId="0" applyFont="0" applyFill="0" applyBorder="0" applyAlignment="0" applyProtection="0"/>
    <xf numFmtId="167" fontId="7" fillId="0" borderId="10">
      <alignment horizontal="right"/>
    </xf>
    <xf numFmtId="0" fontId="48" fillId="0" borderId="0" applyNumberFormat="0" applyFill="0" applyBorder="0" applyAlignment="0" applyProtection="0"/>
    <xf numFmtId="0" fontId="53" fillId="0" borderId="0"/>
    <xf numFmtId="168" fontId="56" fillId="0" borderId="0"/>
    <xf numFmtId="0" fontId="53" fillId="0" borderId="0"/>
  </cellStyleXfs>
  <cellXfs count="509">
    <xf numFmtId="0" fontId="0" fillId="0" borderId="0" xfId="0"/>
    <xf numFmtId="0" fontId="7" fillId="0" borderId="0" xfId="8">
      <alignment wrapText="1"/>
    </xf>
    <xf numFmtId="0" fontId="7" fillId="0" borderId="0" xfId="0" applyFont="1"/>
    <xf numFmtId="0" fontId="9" fillId="0" borderId="0" xfId="0" applyFont="1" applyAlignment="1">
      <alignment horizontal="center"/>
    </xf>
    <xf numFmtId="0" fontId="9" fillId="0" borderId="0" xfId="0" applyFont="1"/>
    <xf numFmtId="0" fontId="8" fillId="0" borderId="0" xfId="0" applyFont="1"/>
    <xf numFmtId="0" fontId="8" fillId="0" borderId="0" xfId="0" applyFont="1" applyAlignment="1">
      <alignment horizontal="center"/>
    </xf>
    <xf numFmtId="0" fontId="7" fillId="0" borderId="0" xfId="0" applyFont="1" applyAlignment="1">
      <alignment horizontal="left"/>
    </xf>
    <xf numFmtId="0" fontId="11" fillId="0" borderId="0" xfId="0" applyFont="1" applyAlignment="1">
      <alignment horizontal="center"/>
    </xf>
    <xf numFmtId="0" fontId="7" fillId="0" borderId="0" xfId="0" applyFont="1" applyAlignment="1">
      <alignment wrapText="1"/>
    </xf>
    <xf numFmtId="0" fontId="7" fillId="0" borderId="0" xfId="0" applyFont="1" applyAlignment="1">
      <alignment vertical="center"/>
    </xf>
    <xf numFmtId="0" fontId="8" fillId="0" borderId="0" xfId="0" applyFont="1" applyAlignment="1">
      <alignment horizontal="left" vertical="center" wrapText="1"/>
    </xf>
    <xf numFmtId="0" fontId="13" fillId="0" borderId="0" xfId="0" applyFont="1"/>
    <xf numFmtId="0" fontId="8" fillId="0" borderId="0" xfId="8" applyFont="1">
      <alignment wrapText="1"/>
    </xf>
    <xf numFmtId="0" fontId="8" fillId="0" borderId="0" xfId="9">
      <alignment wrapText="1"/>
    </xf>
    <xf numFmtId="0" fontId="8" fillId="0" borderId="0" xfId="9" applyAlignment="1">
      <alignment vertical="center" wrapText="1"/>
    </xf>
    <xf numFmtId="0" fontId="8" fillId="0" borderId="0" xfId="9" applyAlignment="1">
      <alignment vertical="center"/>
    </xf>
    <xf numFmtId="0" fontId="7" fillId="0" borderId="0" xfId="8" applyAlignment="1">
      <alignment vertical="center"/>
    </xf>
    <xf numFmtId="165" fontId="7" fillId="0" borderId="0" xfId="1" applyNumberFormat="1" applyFont="1" applyBorder="1"/>
    <xf numFmtId="165" fontId="7" fillId="0" borderId="0" xfId="1" applyNumberFormat="1" applyFont="1"/>
    <xf numFmtId="165" fontId="8" fillId="0" borderId="0" xfId="1" applyNumberFormat="1" applyFont="1"/>
    <xf numFmtId="165" fontId="7" fillId="0" borderId="0" xfId="1" applyNumberFormat="1" applyFont="1" applyAlignment="1">
      <alignment vertical="center"/>
    </xf>
    <xf numFmtId="165" fontId="8" fillId="0" borderId="0" xfId="1" applyNumberFormat="1" applyFont="1" applyAlignment="1">
      <alignment vertical="center"/>
    </xf>
    <xf numFmtId="165" fontId="7" fillId="0" borderId="0" xfId="1" applyNumberFormat="1" applyFont="1" applyAlignment="1">
      <alignment vertical="center" wrapText="1"/>
    </xf>
    <xf numFmtId="165" fontId="8" fillId="0" borderId="0" xfId="1" applyNumberFormat="1" applyFont="1" applyAlignment="1">
      <alignment vertical="center" wrapText="1"/>
    </xf>
    <xf numFmtId="0" fontId="8" fillId="0" borderId="0" xfId="9" applyAlignment="1">
      <alignment horizontal="left" wrapText="1"/>
    </xf>
    <xf numFmtId="165" fontId="8" fillId="0" borderId="0" xfId="1" applyNumberFormat="1" applyFont="1" applyBorder="1" applyAlignment="1">
      <alignment horizontal="right"/>
    </xf>
    <xf numFmtId="0" fontId="8" fillId="0" borderId="0" xfId="9" applyAlignment="1">
      <alignment horizontal="left" vertical="center" wrapText="1"/>
    </xf>
    <xf numFmtId="0" fontId="8" fillId="0" borderId="0" xfId="8" applyFont="1" applyAlignment="1">
      <alignment horizontal="left" wrapText="1"/>
    </xf>
    <xf numFmtId="0" fontId="7" fillId="0" borderId="0" xfId="8" applyAlignment="1">
      <alignment horizontal="left" vertical="center"/>
    </xf>
    <xf numFmtId="0" fontId="16" fillId="0" borderId="0" xfId="0" applyFont="1"/>
    <xf numFmtId="0" fontId="16" fillId="0" borderId="0" xfId="8" applyFont="1">
      <alignment wrapText="1"/>
    </xf>
    <xf numFmtId="0" fontId="14" fillId="0" borderId="0" xfId="0" applyFont="1"/>
    <xf numFmtId="0" fontId="17" fillId="0" borderId="0" xfId="9" applyFont="1">
      <alignment wrapText="1"/>
    </xf>
    <xf numFmtId="165" fontId="7" fillId="0" borderId="0" xfId="1" applyNumberFormat="1" applyFont="1" applyBorder="1" applyAlignment="1">
      <alignment vertical="center" wrapText="1"/>
    </xf>
    <xf numFmtId="0" fontId="7" fillId="0" borderId="0" xfId="8" applyAlignment="1">
      <alignment horizontal="left" vertical="top" wrapText="1"/>
    </xf>
    <xf numFmtId="166" fontId="7" fillId="0" borderId="0" xfId="1" applyNumberFormat="1" applyFont="1" applyAlignment="1">
      <alignment horizontal="right"/>
    </xf>
    <xf numFmtId="166" fontId="7" fillId="0" borderId="0" xfId="1" applyNumberFormat="1" applyFont="1" applyBorder="1" applyAlignment="1">
      <alignment horizontal="right"/>
    </xf>
    <xf numFmtId="166" fontId="8" fillId="0" borderId="0" xfId="1" applyNumberFormat="1" applyFont="1" applyBorder="1" applyAlignment="1">
      <alignment horizontal="right"/>
    </xf>
    <xf numFmtId="0" fontId="8" fillId="0" borderId="0" xfId="9" applyAlignment="1">
      <alignment horizontal="right" vertical="center" wrapText="1"/>
    </xf>
    <xf numFmtId="0" fontId="18" fillId="0" borderId="0" xfId="8" applyFont="1" applyAlignment="1">
      <alignment vertical="center"/>
    </xf>
    <xf numFmtId="166" fontId="7" fillId="0" borderId="0" xfId="10">
      <alignment horizontal="right"/>
    </xf>
    <xf numFmtId="166" fontId="8" fillId="0" borderId="10" xfId="7">
      <alignment horizontal="right"/>
    </xf>
    <xf numFmtId="166" fontId="8" fillId="0" borderId="11" xfId="6">
      <alignment horizontal="right"/>
    </xf>
    <xf numFmtId="0" fontId="19" fillId="0" borderId="0" xfId="9" applyFont="1">
      <alignment wrapText="1"/>
    </xf>
    <xf numFmtId="0" fontId="18" fillId="0" borderId="0" xfId="8" applyFont="1">
      <alignment wrapText="1"/>
    </xf>
    <xf numFmtId="0" fontId="18" fillId="0" borderId="0" xfId="8" applyFont="1" applyAlignment="1">
      <alignment horizontal="left" vertical="center" wrapText="1"/>
    </xf>
    <xf numFmtId="0" fontId="7" fillId="0" borderId="0" xfId="8" applyAlignment="1">
      <alignment horizontal="left" vertical="center" wrapText="1"/>
    </xf>
    <xf numFmtId="0" fontId="16" fillId="0" borderId="0" xfId="8" applyFont="1" applyAlignment="1">
      <alignment vertical="center"/>
    </xf>
    <xf numFmtId="0" fontId="16" fillId="0" borderId="0" xfId="8" applyFont="1" applyAlignment="1">
      <alignment horizontal="left" vertical="center"/>
    </xf>
    <xf numFmtId="166" fontId="8" fillId="0" borderId="0" xfId="11">
      <alignment horizontal="right"/>
    </xf>
    <xf numFmtId="0" fontId="22" fillId="3" borderId="0" xfId="0" applyFont="1" applyFill="1"/>
    <xf numFmtId="0" fontId="22" fillId="3" borderId="0" xfId="0" applyFont="1" applyFill="1" applyAlignment="1">
      <alignment wrapText="1"/>
    </xf>
    <xf numFmtId="0" fontId="0" fillId="3" borderId="0" xfId="0" applyFill="1" applyAlignment="1">
      <alignment wrapText="1"/>
    </xf>
    <xf numFmtId="0" fontId="22" fillId="0" borderId="0" xfId="0" applyFont="1"/>
    <xf numFmtId="0" fontId="0" fillId="0" borderId="0" xfId="0" applyAlignment="1">
      <alignment wrapText="1"/>
    </xf>
    <xf numFmtId="0" fontId="0" fillId="0" borderId="0" xfId="0" applyAlignment="1">
      <alignment horizontal="left" vertical="top" wrapText="1" indent="2"/>
    </xf>
    <xf numFmtId="0" fontId="0" fillId="0" borderId="0" xfId="0" applyAlignment="1">
      <alignment horizontal="left" wrapText="1" indent="2"/>
    </xf>
    <xf numFmtId="0" fontId="24" fillId="0" borderId="0" xfId="0" applyFont="1" applyAlignment="1">
      <alignment wrapText="1"/>
    </xf>
    <xf numFmtId="0" fontId="21" fillId="0" borderId="0" xfId="0" applyFont="1"/>
    <xf numFmtId="0" fontId="22" fillId="4" borderId="0" xfId="0" applyFont="1" applyFill="1"/>
    <xf numFmtId="0" fontId="0" fillId="4" borderId="0" xfId="0" applyFill="1" applyAlignment="1">
      <alignment wrapText="1"/>
    </xf>
    <xf numFmtId="0" fontId="25" fillId="0" borderId="0" xfId="0" applyFont="1"/>
    <xf numFmtId="49" fontId="7" fillId="0" borderId="4" xfId="0" applyNumberFormat="1" applyFont="1" applyBorder="1"/>
    <xf numFmtId="0" fontId="26" fillId="0" borderId="0" xfId="0" applyFont="1"/>
    <xf numFmtId="0" fontId="18" fillId="0" borderId="0" xfId="0" applyFont="1"/>
    <xf numFmtId="0" fontId="17" fillId="2" borderId="0" xfId="0" applyFont="1" applyFill="1"/>
    <xf numFmtId="0" fontId="17" fillId="2" borderId="6" xfId="0" applyFont="1" applyFill="1" applyBorder="1"/>
    <xf numFmtId="0" fontId="7" fillId="0" borderId="7" xfId="0" applyFont="1" applyBorder="1"/>
    <xf numFmtId="14" fontId="7" fillId="0" borderId="7" xfId="0" applyNumberFormat="1" applyFont="1" applyBorder="1" applyAlignment="1">
      <alignment horizontal="right"/>
    </xf>
    <xf numFmtId="0" fontId="7" fillId="0" borderId="8" xfId="0" applyFont="1" applyBorder="1"/>
    <xf numFmtId="164" fontId="10" fillId="0" borderId="9" xfId="0" applyNumberFormat="1" applyFont="1" applyBorder="1" applyAlignment="1">
      <alignment horizontal="left" vertical="center"/>
    </xf>
    <xf numFmtId="14" fontId="10" fillId="0" borderId="9" xfId="0" applyNumberFormat="1" applyFont="1" applyBorder="1" applyAlignment="1">
      <alignment horizontal="right" vertical="center"/>
    </xf>
    <xf numFmtId="164" fontId="10" fillId="0" borderId="5" xfId="0" applyNumberFormat="1" applyFont="1" applyBorder="1" applyAlignment="1">
      <alignment horizontal="left" vertical="center"/>
    </xf>
    <xf numFmtId="164" fontId="6" fillId="0" borderId="9" xfId="0" applyNumberFormat="1" applyFont="1" applyBorder="1" applyAlignment="1">
      <alignment vertical="center"/>
    </xf>
    <xf numFmtId="0" fontId="28" fillId="0" borderId="0" xfId="0" applyFont="1" applyAlignment="1">
      <alignment wrapText="1"/>
    </xf>
    <xf numFmtId="49" fontId="0" fillId="0" borderId="0" xfId="0" applyNumberFormat="1" applyAlignment="1">
      <alignment horizontal="right" vertical="top"/>
    </xf>
    <xf numFmtId="49" fontId="0" fillId="0" borderId="0" xfId="0" applyNumberFormat="1" applyAlignment="1">
      <alignment horizontal="right"/>
    </xf>
    <xf numFmtId="0" fontId="8" fillId="0" borderId="0" xfId="9" applyAlignment="1">
      <alignment horizontal="left" vertical="center"/>
    </xf>
    <xf numFmtId="0" fontId="0" fillId="0" borderId="0" xfId="0" applyAlignment="1">
      <alignment horizontal="left"/>
    </xf>
    <xf numFmtId="0" fontId="8" fillId="0" borderId="0" xfId="9" applyAlignment="1">
      <alignment horizontal="right" wrapText="1"/>
    </xf>
    <xf numFmtId="0" fontId="30" fillId="0" borderId="0" xfId="0" applyFont="1" applyAlignment="1">
      <alignment wrapText="1"/>
    </xf>
    <xf numFmtId="0" fontId="31" fillId="0" borderId="0" xfId="0" applyFont="1"/>
    <xf numFmtId="0" fontId="7" fillId="0" borderId="0" xfId="0" applyFont="1" applyAlignment="1">
      <alignment horizontal="center"/>
    </xf>
    <xf numFmtId="0" fontId="6" fillId="0" borderId="0" xfId="0" applyFont="1" applyAlignment="1">
      <alignment horizontal="center"/>
    </xf>
    <xf numFmtId="0" fontId="8" fillId="0" borderId="0" xfId="9" quotePrefix="1" applyAlignment="1">
      <alignment horizontal="right" wrapText="1"/>
    </xf>
    <xf numFmtId="0" fontId="9" fillId="0" borderId="0" xfId="0" applyFont="1" applyAlignment="1">
      <alignment horizontal="justify"/>
    </xf>
    <xf numFmtId="0" fontId="8" fillId="0" borderId="0" xfId="8" applyFont="1" applyAlignment="1"/>
    <xf numFmtId="166" fontId="8" fillId="0" borderId="0" xfId="7" applyBorder="1">
      <alignment horizontal="right"/>
    </xf>
    <xf numFmtId="0" fontId="8" fillId="0" borderId="0" xfId="9" applyAlignment="1">
      <alignment horizontal="center" wrapText="1"/>
    </xf>
    <xf numFmtId="0" fontId="33" fillId="0" borderId="0" xfId="0" applyFont="1" applyAlignment="1">
      <alignment horizontal="center"/>
    </xf>
    <xf numFmtId="0" fontId="7" fillId="0" borderId="0" xfId="8" applyAlignment="1">
      <alignment horizontal="center" wrapText="1"/>
    </xf>
    <xf numFmtId="0" fontId="7" fillId="0" borderId="0" xfId="0" applyFont="1" applyAlignment="1">
      <alignment horizontal="right"/>
    </xf>
    <xf numFmtId="0" fontId="8" fillId="0" borderId="0" xfId="9" applyAlignment="1"/>
    <xf numFmtId="0" fontId="7" fillId="0" borderId="0" xfId="8" applyAlignment="1">
      <alignment horizontal="right" wrapText="1"/>
    </xf>
    <xf numFmtId="0" fontId="18" fillId="0" borderId="0" xfId="8" applyFont="1" applyAlignment="1">
      <alignment horizontal="left" wrapText="1"/>
    </xf>
    <xf numFmtId="0" fontId="8" fillId="0" borderId="0" xfId="9" applyAlignment="1">
      <alignment vertical="top" wrapText="1"/>
    </xf>
    <xf numFmtId="0" fontId="19" fillId="0" borderId="0" xfId="9" applyFont="1" applyAlignment="1"/>
    <xf numFmtId="0" fontId="18" fillId="0" borderId="0" xfId="9" applyFont="1" applyAlignment="1">
      <alignment horizontal="left" wrapText="1"/>
    </xf>
    <xf numFmtId="0" fontId="8" fillId="0" borderId="0" xfId="9" applyAlignment="1">
      <alignment horizontal="left"/>
    </xf>
    <xf numFmtId="0" fontId="7" fillId="0" borderId="0" xfId="8" applyAlignment="1"/>
    <xf numFmtId="14" fontId="7" fillId="5" borderId="4" xfId="0" applyNumberFormat="1" applyFont="1" applyFill="1" applyBorder="1" applyAlignment="1">
      <alignment horizontal="left"/>
    </xf>
    <xf numFmtId="14" fontId="7" fillId="0" borderId="4" xfId="0" applyNumberFormat="1" applyFont="1" applyBorder="1"/>
    <xf numFmtId="0" fontId="7" fillId="0" borderId="4" xfId="0" applyFont="1" applyBorder="1" applyAlignment="1">
      <alignment wrapText="1"/>
    </xf>
    <xf numFmtId="0" fontId="7" fillId="0" borderId="0" xfId="0" applyFont="1" applyAlignment="1">
      <alignment horizontal="center" wrapText="1"/>
    </xf>
    <xf numFmtId="0" fontId="7" fillId="0" borderId="0" xfId="8" applyAlignment="1">
      <alignment horizontal="left" wrapText="1" indent="1"/>
    </xf>
    <xf numFmtId="0" fontId="8" fillId="0" borderId="0" xfId="0" applyFont="1" applyAlignment="1">
      <alignment horizontal="right"/>
    </xf>
    <xf numFmtId="0" fontId="8" fillId="0" borderId="0" xfId="0" applyFont="1" applyAlignment="1">
      <alignment horizontal="right" wrapText="1"/>
    </xf>
    <xf numFmtId="6" fontId="8" fillId="0" borderId="0" xfId="0" quotePrefix="1" applyNumberFormat="1" applyFont="1" applyAlignment="1">
      <alignment horizontal="right"/>
    </xf>
    <xf numFmtId="166" fontId="7" fillId="0" borderId="0" xfId="10" quotePrefix="1">
      <alignment horizontal="right"/>
    </xf>
    <xf numFmtId="0" fontId="7" fillId="0" borderId="0" xfId="8" applyAlignment="1">
      <alignment vertical="top" wrapText="1"/>
    </xf>
    <xf numFmtId="0" fontId="7" fillId="0" borderId="0" xfId="8" applyAlignment="1">
      <alignment horizontal="left" wrapText="1"/>
    </xf>
    <xf numFmtId="0" fontId="7" fillId="0" borderId="0" xfId="8" applyAlignment="1">
      <alignment horizontal="left" indent="1"/>
    </xf>
    <xf numFmtId="0" fontId="35" fillId="0" borderId="0" xfId="9" applyFont="1">
      <alignment wrapText="1"/>
    </xf>
    <xf numFmtId="0" fontId="35" fillId="0" borderId="0" xfId="9" applyFont="1" applyAlignment="1"/>
    <xf numFmtId="165" fontId="8" fillId="0" borderId="0" xfId="1" applyNumberFormat="1" applyFont="1" applyFill="1" applyBorder="1" applyAlignment="1">
      <alignment horizontal="right"/>
    </xf>
    <xf numFmtId="0" fontId="7" fillId="0" borderId="0" xfId="8" quotePrefix="1" applyAlignment="1">
      <alignment horizontal="left" wrapText="1" indent="1"/>
    </xf>
    <xf numFmtId="165" fontId="7" fillId="0" borderId="0" xfId="1" applyNumberFormat="1" applyFont="1" applyFill="1" applyAlignment="1">
      <alignment vertical="center"/>
    </xf>
    <xf numFmtId="165" fontId="8" fillId="0" borderId="0" xfId="1" applyNumberFormat="1" applyFont="1" applyFill="1" applyAlignment="1">
      <alignment vertical="center" wrapText="1"/>
    </xf>
    <xf numFmtId="165" fontId="0" fillId="0" borderId="0" xfId="1" applyNumberFormat="1" applyFont="1" applyFill="1"/>
    <xf numFmtId="165" fontId="7" fillId="0" borderId="0" xfId="1" applyNumberFormat="1" applyFont="1" applyFill="1" applyAlignment="1">
      <alignment vertical="center" wrapText="1"/>
    </xf>
    <xf numFmtId="0" fontId="8" fillId="0" borderId="0" xfId="9" quotePrefix="1" applyAlignment="1">
      <alignment vertical="center" wrapText="1"/>
    </xf>
    <xf numFmtId="0" fontId="18" fillId="0" borderId="0" xfId="8" applyFont="1" applyAlignment="1">
      <alignment vertical="center" wrapText="1"/>
    </xf>
    <xf numFmtId="0" fontId="7" fillId="0" borderId="0" xfId="9" applyFont="1">
      <alignment wrapText="1"/>
    </xf>
    <xf numFmtId="0" fontId="7" fillId="0" borderId="0" xfId="0" applyFont="1" applyAlignment="1">
      <alignment horizontal="left" vertical="center" indent="1"/>
    </xf>
    <xf numFmtId="0" fontId="8" fillId="0" borderId="0" xfId="0" applyFont="1" applyAlignment="1">
      <alignment vertical="center"/>
    </xf>
    <xf numFmtId="0" fontId="0" fillId="0" borderId="0" xfId="0" applyAlignment="1">
      <alignment horizontal="left" wrapText="1"/>
    </xf>
    <xf numFmtId="0" fontId="36" fillId="0" borderId="0" xfId="0" applyFont="1"/>
    <xf numFmtId="0" fontId="16" fillId="6" borderId="0" xfId="8" applyFont="1" applyFill="1">
      <alignment wrapText="1"/>
    </xf>
    <xf numFmtId="0" fontId="0" fillId="0" borderId="0" xfId="0" applyAlignment="1">
      <alignment vertical="top" wrapText="1"/>
    </xf>
    <xf numFmtId="0" fontId="19" fillId="0" borderId="0" xfId="8" applyFont="1" applyAlignment="1">
      <alignment vertical="center" wrapText="1"/>
    </xf>
    <xf numFmtId="0" fontId="31" fillId="0" borderId="0" xfId="8" applyFont="1">
      <alignment wrapText="1"/>
    </xf>
    <xf numFmtId="0" fontId="27" fillId="0" borderId="0" xfId="8" applyFont="1" applyAlignment="1"/>
    <xf numFmtId="0" fontId="8" fillId="0" borderId="0" xfId="8" applyFont="1" applyAlignment="1">
      <alignment horizontal="left" wrapText="1" indent="1"/>
    </xf>
    <xf numFmtId="0" fontId="5" fillId="0" borderId="0" xfId="8" applyFont="1">
      <alignment wrapText="1"/>
    </xf>
    <xf numFmtId="0" fontId="6" fillId="0" borderId="0" xfId="8" applyFont="1">
      <alignment wrapText="1"/>
    </xf>
    <xf numFmtId="0" fontId="6" fillId="0" borderId="0" xfId="8" applyFont="1" applyAlignment="1">
      <alignment horizontal="left" wrapText="1"/>
    </xf>
    <xf numFmtId="0" fontId="8" fillId="0" borderId="0" xfId="8" applyFont="1" applyAlignment="1">
      <alignment vertical="center"/>
    </xf>
    <xf numFmtId="165" fontId="18" fillId="0" borderId="0" xfId="1" applyNumberFormat="1" applyFont="1" applyAlignment="1">
      <alignment vertical="center" wrapText="1"/>
    </xf>
    <xf numFmtId="0" fontId="7" fillId="0" borderId="0" xfId="8" applyAlignment="1">
      <alignment horizontal="left"/>
    </xf>
    <xf numFmtId="166" fontId="8" fillId="0" borderId="10" xfId="7" applyAlignment="1"/>
    <xf numFmtId="14" fontId="6" fillId="0" borderId="9" xfId="0" applyNumberFormat="1" applyFont="1" applyBorder="1" applyAlignment="1">
      <alignment horizontal="right" vertical="center"/>
    </xf>
    <xf numFmtId="0" fontId="8" fillId="0" borderId="0" xfId="8" applyFont="1" applyAlignment="1">
      <alignment horizontal="left"/>
    </xf>
    <xf numFmtId="0" fontId="37" fillId="0" borderId="0" xfId="0" applyFont="1"/>
    <xf numFmtId="0" fontId="0" fillId="6" borderId="0" xfId="0" applyFill="1"/>
    <xf numFmtId="14" fontId="6" fillId="0" borderId="0" xfId="0" applyNumberFormat="1" applyFont="1" applyAlignment="1">
      <alignment horizontal="right" vertical="center"/>
    </xf>
    <xf numFmtId="14" fontId="10" fillId="0" borderId="0" xfId="0" applyNumberFormat="1" applyFont="1" applyAlignment="1">
      <alignment horizontal="right" vertical="center"/>
    </xf>
    <xf numFmtId="0" fontId="7" fillId="0" borderId="9" xfId="0" applyFont="1" applyBorder="1" applyAlignment="1">
      <alignment horizontal="right"/>
    </xf>
    <xf numFmtId="0" fontId="38" fillId="0" borderId="0" xfId="0" applyFont="1"/>
    <xf numFmtId="0" fontId="7" fillId="5" borderId="4" xfId="0" applyFont="1" applyFill="1" applyBorder="1"/>
    <xf numFmtId="0" fontId="7" fillId="8" borderId="0" xfId="0" applyFont="1" applyFill="1"/>
    <xf numFmtId="0" fontId="7" fillId="0" borderId="0" xfId="9" applyFont="1" applyAlignment="1"/>
    <xf numFmtId="0" fontId="18" fillId="0" borderId="0" xfId="8" applyFont="1" applyAlignment="1"/>
    <xf numFmtId="0" fontId="18" fillId="0" borderId="0" xfId="8" applyFont="1" applyAlignment="1">
      <alignment horizontal="left" indent="1"/>
    </xf>
    <xf numFmtId="167" fontId="7" fillId="0" borderId="10" xfId="13">
      <alignment horizontal="right"/>
    </xf>
    <xf numFmtId="0" fontId="21" fillId="0" borderId="0" xfId="0" applyFont="1" applyAlignment="1">
      <alignment horizontal="left" wrapText="1" indent="3"/>
    </xf>
    <xf numFmtId="0" fontId="7" fillId="8" borderId="14" xfId="0" applyFont="1" applyFill="1" applyBorder="1"/>
    <xf numFmtId="0" fontId="7" fillId="8" borderId="13" xfId="0" applyFont="1" applyFill="1" applyBorder="1"/>
    <xf numFmtId="0" fontId="6" fillId="8" borderId="12" xfId="0" applyFont="1" applyFill="1" applyBorder="1" applyAlignment="1">
      <alignment horizontal="left" vertical="center" indent="1"/>
    </xf>
    <xf numFmtId="0" fontId="6" fillId="0" borderId="0" xfId="0" applyFont="1" applyAlignment="1">
      <alignment horizontal="left" vertical="center" indent="1"/>
    </xf>
    <xf numFmtId="0" fontId="6" fillId="8" borderId="15" xfId="0" applyFont="1" applyFill="1" applyBorder="1" applyAlignment="1">
      <alignment horizontal="left" vertical="center" indent="1"/>
    </xf>
    <xf numFmtId="0" fontId="7" fillId="8" borderId="12" xfId="8" applyFill="1" applyBorder="1" applyAlignment="1"/>
    <xf numFmtId="0" fontId="7" fillId="8" borderId="13" xfId="8" applyFill="1" applyBorder="1">
      <alignment wrapText="1"/>
    </xf>
    <xf numFmtId="0" fontId="7" fillId="8" borderId="14" xfId="8" applyFill="1" applyBorder="1">
      <alignment wrapText="1"/>
    </xf>
    <xf numFmtId="10" fontId="0" fillId="0" borderId="0" xfId="12" applyNumberFormat="1" applyFont="1" applyFill="1" applyBorder="1"/>
    <xf numFmtId="0" fontId="7" fillId="8" borderId="13" xfId="8" applyFill="1" applyBorder="1" applyAlignment="1"/>
    <xf numFmtId="0" fontId="7" fillId="8" borderId="0" xfId="8" applyFill="1">
      <alignment wrapText="1"/>
    </xf>
    <xf numFmtId="0" fontId="7" fillId="8" borderId="0" xfId="9" applyFont="1" applyFill="1">
      <alignment wrapText="1"/>
    </xf>
    <xf numFmtId="0" fontId="12" fillId="0" borderId="0" xfId="0" applyFont="1" applyAlignment="1">
      <alignment horizontal="center"/>
    </xf>
    <xf numFmtId="0" fontId="0" fillId="8" borderId="13" xfId="0" applyFill="1" applyBorder="1"/>
    <xf numFmtId="0" fontId="0" fillId="8" borderId="14" xfId="0" applyFill="1" applyBorder="1"/>
    <xf numFmtId="0" fontId="44" fillId="0" borderId="0" xfId="0" applyFont="1" applyAlignment="1">
      <alignment horizontal="right"/>
    </xf>
    <xf numFmtId="0" fontId="8" fillId="0" borderId="0" xfId="8" applyFont="1" applyAlignment="1">
      <alignment horizontal="right" wrapText="1"/>
    </xf>
    <xf numFmtId="0" fontId="12" fillId="0" borderId="0" xfId="0" applyFont="1" applyAlignment="1">
      <alignment horizontal="right"/>
    </xf>
    <xf numFmtId="0" fontId="18" fillId="0" borderId="0" xfId="8" applyFont="1" applyAlignment="1">
      <alignment horizontal="left"/>
    </xf>
    <xf numFmtId="0" fontId="12" fillId="0" borderId="0" xfId="0" applyFont="1"/>
    <xf numFmtId="0" fontId="15" fillId="0" borderId="0" xfId="8" applyFont="1" applyAlignment="1">
      <alignment horizontal="left" wrapText="1"/>
    </xf>
    <xf numFmtId="0" fontId="15" fillId="0" borderId="0" xfId="8" applyFont="1">
      <alignment wrapText="1"/>
    </xf>
    <xf numFmtId="0" fontId="46" fillId="0" borderId="0" xfId="8" applyFont="1" applyAlignment="1">
      <alignment horizontal="left" wrapText="1"/>
    </xf>
    <xf numFmtId="166" fontId="7" fillId="0" borderId="0" xfId="11" applyFont="1">
      <alignment horizontal="right"/>
    </xf>
    <xf numFmtId="0" fontId="32" fillId="0" borderId="0" xfId="0" applyFont="1" applyAlignment="1">
      <alignment wrapText="1"/>
    </xf>
    <xf numFmtId="0" fontId="7" fillId="0" borderId="0" xfId="8" applyAlignment="1">
      <alignment horizontal="left" vertical="center" indent="1"/>
    </xf>
    <xf numFmtId="0" fontId="5" fillId="0" borderId="0" xfId="9" applyFont="1" applyAlignment="1"/>
    <xf numFmtId="166" fontId="7" fillId="0" borderId="0" xfId="8" applyNumberFormat="1">
      <alignment wrapText="1"/>
    </xf>
    <xf numFmtId="0" fontId="7" fillId="0" borderId="16" xfId="8" applyBorder="1" applyAlignment="1">
      <alignment horizontal="left" wrapText="1"/>
    </xf>
    <xf numFmtId="0" fontId="8" fillId="0" borderId="16" xfId="8" applyFont="1" applyBorder="1" applyAlignment="1">
      <alignment horizontal="right" wrapText="1" indent="1"/>
    </xf>
    <xf numFmtId="49" fontId="7" fillId="0" borderId="16" xfId="8" applyNumberFormat="1" applyBorder="1" applyAlignment="1">
      <alignment horizontal="right" wrapText="1" indent="1"/>
    </xf>
    <xf numFmtId="0" fontId="7" fillId="0" borderId="16" xfId="8" applyBorder="1">
      <alignment wrapText="1"/>
    </xf>
    <xf numFmtId="0" fontId="7" fillId="0" borderId="0" xfId="8" applyAlignment="1">
      <alignment vertical="top"/>
    </xf>
    <xf numFmtId="0" fontId="8" fillId="0" borderId="0" xfId="9" applyAlignment="1">
      <alignment horizontal="left" vertical="top" wrapText="1"/>
    </xf>
    <xf numFmtId="0" fontId="7" fillId="0" borderId="0" xfId="8" applyAlignment="1">
      <alignment horizontal="left" vertical="top" wrapText="1" indent="1"/>
    </xf>
    <xf numFmtId="165" fontId="8" fillId="0" borderId="0" xfId="1" applyNumberFormat="1" applyFont="1" applyAlignment="1">
      <alignment horizontal="right" wrapText="1"/>
    </xf>
    <xf numFmtId="165" fontId="8" fillId="0" borderId="0" xfId="1" applyNumberFormat="1" applyFont="1" applyBorder="1" applyAlignment="1">
      <alignment horizontal="right" wrapText="1"/>
    </xf>
    <xf numFmtId="165" fontId="7" fillId="0" borderId="0" xfId="1" applyNumberFormat="1" applyFont="1" applyAlignment="1">
      <alignment horizontal="right"/>
    </xf>
    <xf numFmtId="165" fontId="7" fillId="0" borderId="0" xfId="1" applyNumberFormat="1" applyFont="1" applyBorder="1" applyAlignment="1">
      <alignment horizontal="right"/>
    </xf>
    <xf numFmtId="0" fontId="8" fillId="0" borderId="0" xfId="0" applyFont="1" applyAlignment="1">
      <alignment vertical="center" wrapText="1"/>
    </xf>
    <xf numFmtId="166" fontId="7" fillId="0" borderId="0" xfId="0" applyNumberFormat="1" applyFont="1"/>
    <xf numFmtId="0" fontId="8" fillId="0" borderId="0" xfId="8" applyFont="1" applyAlignment="1">
      <alignment horizontal="left" vertical="center" wrapText="1"/>
    </xf>
    <xf numFmtId="0" fontId="7" fillId="0" borderId="0" xfId="8" applyAlignment="1">
      <alignment horizontal="left" vertical="center" wrapText="1" indent="1"/>
    </xf>
    <xf numFmtId="0" fontId="8" fillId="0" borderId="0" xfId="8" applyFont="1" applyAlignment="1">
      <alignment horizontal="left" vertical="center" wrapText="1" indent="1"/>
    </xf>
    <xf numFmtId="0" fontId="7" fillId="0" borderId="0" xfId="0" applyFont="1" applyAlignment="1">
      <alignment horizontal="left" vertical="center" wrapText="1" indent="1"/>
    </xf>
    <xf numFmtId="0" fontId="46" fillId="0" borderId="0" xfId="8" applyFont="1">
      <alignment wrapText="1"/>
    </xf>
    <xf numFmtId="166" fontId="7" fillId="8" borderId="13" xfId="8" applyNumberFormat="1" applyFill="1" applyBorder="1">
      <alignment wrapText="1"/>
    </xf>
    <xf numFmtId="0" fontId="7" fillId="0" borderId="0" xfId="0" quotePrefix="1" applyFont="1" applyAlignment="1">
      <alignment horizontal="left" vertical="center" indent="1"/>
    </xf>
    <xf numFmtId="165" fontId="7" fillId="0" borderId="0" xfId="1" applyNumberFormat="1" applyFont="1" applyFill="1" applyBorder="1"/>
    <xf numFmtId="0" fontId="7" fillId="0" borderId="0" xfId="8" applyAlignment="1">
      <alignment horizontal="left" indent="2"/>
    </xf>
    <xf numFmtId="0" fontId="0" fillId="0" borderId="0" xfId="0" applyAlignment="1">
      <alignment vertical="center"/>
    </xf>
    <xf numFmtId="0" fontId="12" fillId="3" borderId="0" xfId="0" applyFont="1" applyFill="1" applyAlignment="1">
      <alignment vertical="center"/>
    </xf>
    <xf numFmtId="0" fontId="49" fillId="0" borderId="0" xfId="0" applyFont="1" applyAlignment="1">
      <alignment vertical="center"/>
    </xf>
    <xf numFmtId="0" fontId="0" fillId="0" borderId="0" xfId="0" applyAlignment="1">
      <alignment horizontal="left" vertical="center"/>
    </xf>
    <xf numFmtId="0" fontId="0" fillId="0" borderId="0" xfId="0" applyAlignment="1">
      <alignment vertical="center" wrapText="1"/>
    </xf>
    <xf numFmtId="165" fontId="7" fillId="0" borderId="0" xfId="1" applyNumberFormat="1" applyFont="1" applyFill="1"/>
    <xf numFmtId="165" fontId="7" fillId="0" borderId="0" xfId="1" applyNumberFormat="1" applyFont="1" applyFill="1" applyBorder="1" applyAlignment="1">
      <alignment vertical="center" wrapText="1"/>
    </xf>
    <xf numFmtId="165" fontId="7" fillId="0" borderId="0" xfId="1" applyNumberFormat="1" applyFont="1" applyFill="1" applyBorder="1" applyAlignment="1">
      <alignment horizontal="right"/>
    </xf>
    <xf numFmtId="165" fontId="7" fillId="0" borderId="0" xfId="1" applyNumberFormat="1" applyFont="1" applyFill="1" applyAlignment="1">
      <alignment horizontal="right"/>
    </xf>
    <xf numFmtId="165" fontId="7" fillId="0" borderId="0" xfId="1" applyNumberFormat="1" applyFont="1" applyFill="1" applyBorder="1" applyAlignment="1">
      <alignment vertical="center"/>
    </xf>
    <xf numFmtId="0" fontId="7" fillId="9" borderId="0" xfId="8" applyFill="1" applyAlignment="1">
      <alignment horizontal="left" wrapText="1" indent="1"/>
    </xf>
    <xf numFmtId="0" fontId="7" fillId="9" borderId="0" xfId="8" applyFill="1" applyAlignment="1">
      <alignment horizontal="center" wrapText="1"/>
    </xf>
    <xf numFmtId="166" fontId="7" fillId="9" borderId="0" xfId="10" applyFill="1">
      <alignment horizontal="right"/>
    </xf>
    <xf numFmtId="166" fontId="7" fillId="9" borderId="0" xfId="1" applyNumberFormat="1" applyFont="1" applyFill="1" applyBorder="1" applyAlignment="1">
      <alignment horizontal="right"/>
    </xf>
    <xf numFmtId="0" fontId="7" fillId="9" borderId="0" xfId="0" applyFont="1" applyFill="1"/>
    <xf numFmtId="0" fontId="8" fillId="9" borderId="0" xfId="9" applyFill="1" applyAlignment="1"/>
    <xf numFmtId="166" fontId="8" fillId="9" borderId="11" xfId="6" applyFill="1">
      <alignment horizontal="right"/>
    </xf>
    <xf numFmtId="166" fontId="8" fillId="9" borderId="0" xfId="1" applyNumberFormat="1" applyFont="1" applyFill="1" applyBorder="1" applyAlignment="1">
      <alignment horizontal="right"/>
    </xf>
    <xf numFmtId="0" fontId="7" fillId="9" borderId="0" xfId="8" applyFill="1" applyAlignment="1">
      <alignment horizontal="left" indent="1"/>
    </xf>
    <xf numFmtId="15" fontId="7" fillId="0" borderId="0" xfId="8" applyNumberFormat="1" applyAlignment="1">
      <alignment horizontal="center" wrapText="1"/>
    </xf>
    <xf numFmtId="0" fontId="8" fillId="0" borderId="0" xfId="9" applyAlignment="1">
      <alignment horizontal="right" vertical="top" wrapText="1"/>
    </xf>
    <xf numFmtId="166" fontId="8" fillId="9" borderId="0" xfId="11" applyFill="1">
      <alignment horizontal="right"/>
    </xf>
    <xf numFmtId="166" fontId="7" fillId="9" borderId="0" xfId="11" applyFont="1" applyFill="1">
      <alignment horizontal="right"/>
    </xf>
    <xf numFmtId="0" fontId="7" fillId="9" borderId="12" xfId="0" applyFont="1" applyFill="1" applyBorder="1"/>
    <xf numFmtId="0" fontId="8" fillId="9" borderId="13" xfId="0" applyFont="1" applyFill="1" applyBorder="1"/>
    <xf numFmtId="0" fontId="7" fillId="9" borderId="13" xfId="0" applyFont="1" applyFill="1" applyBorder="1"/>
    <xf numFmtId="0" fontId="7" fillId="9" borderId="14" xfId="0" applyFont="1" applyFill="1" applyBorder="1"/>
    <xf numFmtId="0" fontId="8" fillId="9" borderId="0" xfId="0" applyFont="1" applyFill="1"/>
    <xf numFmtId="0" fontId="7" fillId="9" borderId="0" xfId="9" applyFont="1" applyFill="1">
      <alignment wrapText="1"/>
    </xf>
    <xf numFmtId="0" fontId="7" fillId="9" borderId="0" xfId="0" applyFont="1" applyFill="1" applyAlignment="1">
      <alignment horizontal="right"/>
    </xf>
    <xf numFmtId="166" fontId="7" fillId="9" borderId="0" xfId="0" applyNumberFormat="1" applyFont="1" applyFill="1"/>
    <xf numFmtId="0" fontId="0" fillId="9" borderId="0" xfId="0" applyFill="1"/>
    <xf numFmtId="0" fontId="7" fillId="9" borderId="0" xfId="8" applyFill="1" applyAlignment="1">
      <alignment horizontal="left" vertical="top" wrapText="1" indent="1"/>
    </xf>
    <xf numFmtId="0" fontId="7" fillId="9" borderId="0" xfId="9" applyFont="1" applyFill="1" applyAlignment="1">
      <alignment horizontal="left" indent="1"/>
    </xf>
    <xf numFmtId="0" fontId="8" fillId="9" borderId="0" xfId="9" applyFill="1" applyAlignment="1">
      <alignment horizontal="center" wrapText="1"/>
    </xf>
    <xf numFmtId="166" fontId="8" fillId="9" borderId="11" xfId="11" applyFill="1" applyBorder="1">
      <alignment horizontal="right"/>
    </xf>
    <xf numFmtId="166" fontId="7" fillId="9" borderId="11" xfId="10" applyFill="1" applyBorder="1">
      <alignment horizontal="right"/>
    </xf>
    <xf numFmtId="0" fontId="16" fillId="9" borderId="0" xfId="8" applyFont="1" applyFill="1">
      <alignment wrapText="1"/>
    </xf>
    <xf numFmtId="0" fontId="19" fillId="9" borderId="0" xfId="8" applyFont="1" applyFill="1">
      <alignment wrapText="1"/>
    </xf>
    <xf numFmtId="0" fontId="7" fillId="9" borderId="0" xfId="8" applyFill="1">
      <alignment wrapText="1"/>
    </xf>
    <xf numFmtId="0" fontId="6" fillId="9" borderId="0" xfId="8" applyFont="1" applyFill="1">
      <alignment wrapText="1"/>
    </xf>
    <xf numFmtId="0" fontId="16" fillId="11" borderId="0" xfId="8" applyFont="1" applyFill="1">
      <alignment wrapText="1"/>
    </xf>
    <xf numFmtId="0" fontId="17" fillId="11" borderId="0" xfId="8" applyFont="1" applyFill="1">
      <alignment wrapText="1"/>
    </xf>
    <xf numFmtId="0" fontId="18" fillId="11" borderId="0" xfId="8" applyFont="1" applyFill="1">
      <alignment wrapText="1"/>
    </xf>
    <xf numFmtId="0" fontId="41" fillId="9" borderId="0" xfId="8" applyFont="1" applyFill="1">
      <alignment wrapText="1"/>
    </xf>
    <xf numFmtId="0" fontId="18" fillId="9" borderId="0" xfId="8" applyFont="1" applyFill="1">
      <alignment wrapText="1"/>
    </xf>
    <xf numFmtId="0" fontId="7" fillId="9" borderId="0" xfId="8" applyFill="1" applyAlignment="1">
      <alignment horizontal="left" wrapText="1"/>
    </xf>
    <xf numFmtId="0" fontId="8" fillId="9" borderId="0" xfId="8" applyFont="1" applyFill="1" applyAlignment="1">
      <alignment horizontal="left" wrapText="1"/>
    </xf>
    <xf numFmtId="0" fontId="20" fillId="9" borderId="0" xfId="8" applyFont="1" applyFill="1" applyAlignment="1">
      <alignment horizontal="left" wrapText="1"/>
    </xf>
    <xf numFmtId="0" fontId="8" fillId="9" borderId="0" xfId="9" applyFill="1">
      <alignment wrapText="1"/>
    </xf>
    <xf numFmtId="0" fontId="8" fillId="9" borderId="0" xfId="8" applyFont="1" applyFill="1">
      <alignment wrapText="1"/>
    </xf>
    <xf numFmtId="0" fontId="42" fillId="9" borderId="0" xfId="8" applyFont="1" applyFill="1">
      <alignment wrapText="1"/>
    </xf>
    <xf numFmtId="0" fontId="42" fillId="9" borderId="0" xfId="9" applyFont="1" applyFill="1">
      <alignment wrapText="1"/>
    </xf>
    <xf numFmtId="0" fontId="41" fillId="9" borderId="0" xfId="8" applyFont="1" applyFill="1" applyAlignment="1">
      <alignment horizontal="left" wrapText="1"/>
    </xf>
    <xf numFmtId="0" fontId="18" fillId="9" borderId="0" xfId="8" applyFont="1" applyFill="1" applyAlignment="1">
      <alignment horizontal="left" wrapText="1"/>
    </xf>
    <xf numFmtId="0" fontId="8" fillId="9" borderId="0" xfId="8" applyFont="1" applyFill="1" applyAlignment="1"/>
    <xf numFmtId="0" fontId="15" fillId="9" borderId="0" xfId="8" applyFont="1" applyFill="1" applyAlignment="1">
      <alignment horizontal="left" wrapText="1"/>
    </xf>
    <xf numFmtId="1" fontId="7" fillId="9" borderId="0" xfId="8" applyNumberFormat="1" applyFill="1">
      <alignment wrapText="1"/>
    </xf>
    <xf numFmtId="0" fontId="8" fillId="0" borderId="0" xfId="0" applyFont="1" applyAlignment="1">
      <alignment wrapText="1"/>
    </xf>
    <xf numFmtId="166" fontId="7" fillId="10" borderId="0" xfId="10" applyFill="1">
      <alignment horizontal="right"/>
    </xf>
    <xf numFmtId="0" fontId="8" fillId="9" borderId="0" xfId="9" applyFill="1" applyAlignment="1">
      <alignment horizontal="right" wrapText="1"/>
    </xf>
    <xf numFmtId="0" fontId="9" fillId="9" borderId="0" xfId="0" applyFont="1" applyFill="1" applyAlignment="1">
      <alignment horizontal="justify"/>
    </xf>
    <xf numFmtId="0" fontId="7" fillId="9" borderId="0" xfId="8" applyFill="1" applyAlignment="1"/>
    <xf numFmtId="0" fontId="46" fillId="9" borderId="0" xfId="8" applyFont="1" applyFill="1">
      <alignment wrapText="1"/>
    </xf>
    <xf numFmtId="0" fontId="42" fillId="9" borderId="0" xfId="8" applyFont="1" applyFill="1" applyAlignment="1"/>
    <xf numFmtId="0" fontId="31" fillId="9" borderId="0" xfId="8" applyFont="1" applyFill="1" applyAlignment="1">
      <alignment horizontal="left"/>
    </xf>
    <xf numFmtId="0" fontId="16" fillId="12" borderId="0" xfId="8" applyFont="1" applyFill="1">
      <alignment wrapText="1"/>
    </xf>
    <xf numFmtId="0" fontId="9" fillId="0" borderId="0" xfId="8" applyFont="1">
      <alignment wrapText="1"/>
    </xf>
    <xf numFmtId="0" fontId="52" fillId="0" borderId="0" xfId="8" applyFont="1">
      <alignment wrapText="1"/>
    </xf>
    <xf numFmtId="0" fontId="18" fillId="12" borderId="0" xfId="8" applyFont="1" applyFill="1">
      <alignment wrapText="1"/>
    </xf>
    <xf numFmtId="0" fontId="7" fillId="12" borderId="0" xfId="8" applyFill="1">
      <alignment wrapText="1"/>
    </xf>
    <xf numFmtId="0" fontId="13" fillId="0" borderId="0" xfId="9" applyFont="1" applyAlignment="1">
      <alignment vertical="center"/>
    </xf>
    <xf numFmtId="0" fontId="14" fillId="9" borderId="0" xfId="0" applyFont="1" applyFill="1"/>
    <xf numFmtId="0" fontId="19" fillId="9" borderId="0" xfId="9" applyFont="1" applyFill="1" applyAlignment="1"/>
    <xf numFmtId="165" fontId="7" fillId="9" borderId="0" xfId="1" applyNumberFormat="1" applyFont="1" applyFill="1"/>
    <xf numFmtId="0" fontId="19" fillId="9" borderId="0" xfId="9" applyFont="1" applyFill="1" applyAlignment="1">
      <alignment vertical="center"/>
    </xf>
    <xf numFmtId="0" fontId="19" fillId="9" borderId="0" xfId="8" applyFont="1" applyFill="1" applyAlignment="1"/>
    <xf numFmtId="0" fontId="7" fillId="9" borderId="12" xfId="0" applyFont="1" applyFill="1" applyBorder="1" applyAlignment="1">
      <alignment horizontal="left" indent="1"/>
    </xf>
    <xf numFmtId="0" fontId="0" fillId="9" borderId="13" xfId="0" applyFill="1" applyBorder="1"/>
    <xf numFmtId="0" fontId="0" fillId="9" borderId="14" xfId="0" applyFill="1" applyBorder="1"/>
    <xf numFmtId="0" fontId="16" fillId="9" borderId="0" xfId="0" applyFont="1" applyFill="1"/>
    <xf numFmtId="0" fontId="13" fillId="0" borderId="0" xfId="9" applyFont="1" applyAlignment="1"/>
    <xf numFmtId="0" fontId="13" fillId="0" borderId="0" xfId="9" applyFont="1" applyAlignment="1">
      <alignment horizontal="right" wrapText="1"/>
    </xf>
    <xf numFmtId="166" fontId="9" fillId="0" borderId="0" xfId="10" applyFont="1">
      <alignment horizontal="right"/>
    </xf>
    <xf numFmtId="166" fontId="8" fillId="9" borderId="10" xfId="7" applyFill="1">
      <alignment horizontal="right"/>
    </xf>
    <xf numFmtId="0" fontId="7" fillId="9" borderId="0" xfId="0" applyFont="1" applyFill="1" applyAlignment="1">
      <alignment vertical="center"/>
    </xf>
    <xf numFmtId="0" fontId="9" fillId="9" borderId="0" xfId="0" applyFont="1" applyFill="1"/>
    <xf numFmtId="0" fontId="7" fillId="9" borderId="0" xfId="0" applyFont="1" applyFill="1" applyAlignment="1">
      <alignment horizontal="left" vertical="center" indent="1"/>
    </xf>
    <xf numFmtId="0" fontId="8" fillId="9" borderId="0" xfId="0" applyFont="1" applyFill="1" applyAlignment="1">
      <alignment vertical="center"/>
    </xf>
    <xf numFmtId="0" fontId="18" fillId="9" borderId="0" xfId="0" applyFont="1" applyFill="1"/>
    <xf numFmtId="0" fontId="0" fillId="13" borderId="0" xfId="0" applyFill="1"/>
    <xf numFmtId="0" fontId="55" fillId="0" borderId="0" xfId="0" applyFont="1"/>
    <xf numFmtId="0" fontId="13" fillId="0" borderId="0" xfId="9" applyFont="1">
      <alignment wrapText="1"/>
    </xf>
    <xf numFmtId="165" fontId="8" fillId="9" borderId="0" xfId="1" applyNumberFormat="1" applyFont="1" applyFill="1" applyBorder="1" applyAlignment="1">
      <alignment horizontal="right"/>
    </xf>
    <xf numFmtId="0" fontId="7" fillId="9" borderId="0" xfId="8" applyFill="1" applyAlignment="1">
      <alignment vertical="center"/>
    </xf>
    <xf numFmtId="165" fontId="7" fillId="9" borderId="0" xfId="1" applyNumberFormat="1" applyFont="1" applyFill="1" applyAlignment="1">
      <alignment vertical="center" wrapText="1"/>
    </xf>
    <xf numFmtId="165" fontId="7" fillId="0" borderId="0" xfId="1" applyNumberFormat="1" applyFont="1" applyAlignment="1">
      <alignment wrapText="1"/>
    </xf>
    <xf numFmtId="165" fontId="7" fillId="9" borderId="0" xfId="1" applyNumberFormat="1" applyFont="1" applyFill="1" applyAlignment="1">
      <alignment wrapText="1"/>
    </xf>
    <xf numFmtId="165" fontId="8" fillId="0" borderId="10" xfId="1" applyNumberFormat="1" applyFont="1" applyBorder="1" applyAlignment="1">
      <alignment wrapText="1"/>
    </xf>
    <xf numFmtId="0" fontId="8" fillId="9" borderId="0" xfId="9" applyFill="1" applyAlignment="1">
      <alignment horizontal="left"/>
    </xf>
    <xf numFmtId="0" fontId="12" fillId="9" borderId="0" xfId="0" applyFont="1" applyFill="1"/>
    <xf numFmtId="0" fontId="7" fillId="9" borderId="0" xfId="8" applyFill="1" applyAlignment="1">
      <alignment horizontal="left" vertical="center" wrapText="1"/>
    </xf>
    <xf numFmtId="0" fontId="0" fillId="0" borderId="0" xfId="0" applyAlignment="1">
      <alignment vertical="top"/>
    </xf>
    <xf numFmtId="0" fontId="7" fillId="9" borderId="0" xfId="8" applyFill="1" applyAlignment="1">
      <alignment vertical="top"/>
    </xf>
    <xf numFmtId="166" fontId="7" fillId="9" borderId="0" xfId="8" applyNumberFormat="1" applyFill="1">
      <alignment wrapText="1"/>
    </xf>
    <xf numFmtId="0" fontId="8" fillId="9" borderId="0" xfId="9" applyFill="1" applyAlignment="1">
      <alignment horizontal="right" vertical="top" wrapText="1"/>
    </xf>
    <xf numFmtId="0" fontId="9" fillId="14" borderId="0" xfId="8" applyFont="1" applyFill="1">
      <alignment wrapText="1"/>
    </xf>
    <xf numFmtId="168" fontId="13" fillId="0" borderId="25" xfId="16" applyFont="1" applyBorder="1" applyAlignment="1">
      <alignment horizontal="center" wrapText="1"/>
    </xf>
    <xf numFmtId="0" fontId="13" fillId="0" borderId="25" xfId="15" applyFont="1" applyBorder="1" applyAlignment="1">
      <alignment horizontal="center" wrapText="1"/>
    </xf>
    <xf numFmtId="168" fontId="9" fillId="0" borderId="0" xfId="16" applyFont="1" applyAlignment="1">
      <alignment horizontal="left"/>
    </xf>
    <xf numFmtId="0" fontId="18" fillId="9" borderId="0" xfId="8" applyFont="1" applyFill="1" applyAlignment="1">
      <alignment vertical="center" wrapText="1"/>
    </xf>
    <xf numFmtId="0" fontId="18" fillId="9" borderId="0" xfId="8" applyFont="1" applyFill="1" applyAlignment="1">
      <alignment horizontal="left" vertical="top" wrapText="1"/>
    </xf>
    <xf numFmtId="0" fontId="18" fillId="9" borderId="0" xfId="8" applyFont="1" applyFill="1" applyAlignment="1">
      <alignment horizontal="left" vertical="center" wrapText="1"/>
    </xf>
    <xf numFmtId="0" fontId="18" fillId="9" borderId="0" xfId="9" applyFont="1" applyFill="1" applyAlignment="1">
      <alignment horizontal="left" wrapText="1"/>
    </xf>
    <xf numFmtId="0" fontId="7" fillId="9" borderId="0" xfId="0" applyFont="1" applyFill="1" applyAlignment="1">
      <alignment horizontal="left" vertical="center" wrapText="1" indent="1"/>
    </xf>
    <xf numFmtId="165" fontId="7" fillId="9" borderId="0" xfId="1" applyNumberFormat="1" applyFont="1" applyFill="1" applyBorder="1"/>
    <xf numFmtId="0" fontId="8" fillId="9" borderId="0" xfId="8" applyFont="1" applyFill="1" applyAlignment="1">
      <alignment horizontal="left" wrapText="1" indent="1"/>
    </xf>
    <xf numFmtId="166" fontId="8" fillId="9" borderId="0" xfId="6" applyFill="1" applyBorder="1">
      <alignment horizontal="right"/>
    </xf>
    <xf numFmtId="0" fontId="8" fillId="9" borderId="0" xfId="9" applyFill="1" applyAlignment="1">
      <alignment horizontal="left" wrapText="1"/>
    </xf>
    <xf numFmtId="0" fontId="18" fillId="0" borderId="0" xfId="8" applyFont="1" applyAlignment="1">
      <alignment horizontal="left" vertical="top" wrapText="1"/>
    </xf>
    <xf numFmtId="0" fontId="7" fillId="0" borderId="0" xfId="9" applyFont="1" applyAlignment="1">
      <alignment horizontal="left" wrapText="1"/>
    </xf>
    <xf numFmtId="165" fontId="7" fillId="9" borderId="0" xfId="1" applyNumberFormat="1" applyFont="1" applyFill="1" applyAlignment="1">
      <alignment vertical="center"/>
    </xf>
    <xf numFmtId="165" fontId="8" fillId="9" borderId="0" xfId="1" applyNumberFormat="1" applyFont="1" applyFill="1" applyAlignment="1">
      <alignment vertical="center"/>
    </xf>
    <xf numFmtId="165" fontId="8" fillId="9" borderId="0" xfId="1" applyNumberFormat="1" applyFont="1" applyFill="1" applyAlignment="1">
      <alignment vertical="center" wrapText="1"/>
    </xf>
    <xf numFmtId="0" fontId="8" fillId="9" borderId="0" xfId="8" applyFont="1" applyFill="1" applyAlignment="1">
      <alignment horizontal="left"/>
    </xf>
    <xf numFmtId="0" fontId="7" fillId="9" borderId="0" xfId="9" applyFont="1" applyFill="1" applyAlignment="1">
      <alignment horizontal="left" wrapText="1" indent="1"/>
    </xf>
    <xf numFmtId="0" fontId="13" fillId="0" borderId="0" xfId="8" applyFont="1" applyAlignment="1">
      <alignment horizontal="left"/>
    </xf>
    <xf numFmtId="0" fontId="9" fillId="0" borderId="0" xfId="9" applyFont="1" applyAlignment="1">
      <alignment horizontal="left" wrapText="1" indent="1"/>
    </xf>
    <xf numFmtId="166" fontId="8" fillId="0" borderId="0" xfId="8" applyNumberFormat="1" applyFont="1">
      <alignment wrapText="1"/>
    </xf>
    <xf numFmtId="166" fontId="8" fillId="0" borderId="10" xfId="8" applyNumberFormat="1" applyFont="1" applyBorder="1">
      <alignment wrapText="1"/>
    </xf>
    <xf numFmtId="166" fontId="8" fillId="9" borderId="0" xfId="8" applyNumberFormat="1" applyFont="1" applyFill="1">
      <alignment wrapText="1"/>
    </xf>
    <xf numFmtId="166" fontId="8" fillId="9" borderId="10" xfId="8" applyNumberFormat="1" applyFont="1" applyFill="1" applyBorder="1">
      <alignment wrapText="1"/>
    </xf>
    <xf numFmtId="0" fontId="57" fillId="0" borderId="0" xfId="17" applyFont="1" applyAlignment="1">
      <alignment horizontal="left"/>
    </xf>
    <xf numFmtId="0" fontId="53" fillId="0" borderId="0" xfId="17" applyAlignment="1">
      <alignment horizontal="left" wrapText="1"/>
    </xf>
    <xf numFmtId="0" fontId="53" fillId="0" borderId="0" xfId="17" applyAlignment="1">
      <alignment horizontal="left"/>
    </xf>
    <xf numFmtId="0" fontId="9" fillId="15" borderId="0" xfId="8" applyFont="1" applyFill="1">
      <alignment wrapText="1"/>
    </xf>
    <xf numFmtId="0" fontId="57" fillId="0" borderId="0" xfId="17" applyFont="1" applyAlignment="1">
      <alignment horizontal="left" wrapText="1"/>
    </xf>
    <xf numFmtId="0" fontId="18" fillId="9" borderId="0" xfId="8" applyFont="1" applyFill="1" applyAlignment="1"/>
    <xf numFmtId="0" fontId="18" fillId="9" borderId="0" xfId="8" applyFont="1" applyFill="1" applyAlignment="1">
      <alignment horizontal="left" indent="1"/>
    </xf>
    <xf numFmtId="0" fontId="53" fillId="0" borderId="0" xfId="17" applyAlignment="1">
      <alignment vertical="top" wrapText="1"/>
    </xf>
    <xf numFmtId="0" fontId="9" fillId="0" borderId="0" xfId="17" applyFont="1" applyAlignment="1">
      <alignment wrapText="1"/>
    </xf>
    <xf numFmtId="0" fontId="9" fillId="9" borderId="0" xfId="8" applyFont="1" applyFill="1">
      <alignment wrapText="1"/>
    </xf>
    <xf numFmtId="0" fontId="19" fillId="9" borderId="0" xfId="9" applyFont="1" applyFill="1">
      <alignment wrapText="1"/>
    </xf>
    <xf numFmtId="0" fontId="18" fillId="9" borderId="0" xfId="8" applyFont="1" applyFill="1" applyAlignment="1">
      <alignment vertical="center"/>
    </xf>
    <xf numFmtId="0" fontId="7" fillId="9" borderId="0" xfId="8" quotePrefix="1" applyFill="1">
      <alignment wrapText="1"/>
    </xf>
    <xf numFmtId="0" fontId="7" fillId="0" borderId="0" xfId="8" quotePrefix="1">
      <alignment wrapText="1"/>
    </xf>
    <xf numFmtId="0" fontId="5" fillId="0" borderId="0" xfId="8" applyFont="1" applyAlignment="1">
      <alignment horizontal="right" vertical="top" wrapText="1"/>
    </xf>
    <xf numFmtId="0" fontId="8" fillId="0" borderId="0" xfId="8" applyFont="1" applyAlignment="1">
      <alignment horizontal="left" vertical="top" wrapText="1"/>
    </xf>
    <xf numFmtId="165" fontId="7" fillId="0" borderId="0" xfId="1" applyNumberFormat="1" applyFont="1" applyFill="1" applyAlignment="1">
      <alignment horizontal="left" vertical="top" wrapText="1"/>
    </xf>
    <xf numFmtId="0" fontId="37" fillId="9" borderId="0" xfId="0" applyFont="1" applyFill="1"/>
    <xf numFmtId="167" fontId="7" fillId="9" borderId="10" xfId="13" applyFill="1">
      <alignment horizontal="right"/>
    </xf>
    <xf numFmtId="0" fontId="0" fillId="9" borderId="0" xfId="0" applyFill="1" applyAlignment="1">
      <alignment horizontal="left" wrapText="1"/>
    </xf>
    <xf numFmtId="0" fontId="18" fillId="9" borderId="0" xfId="8" applyFont="1" applyFill="1" applyAlignment="1">
      <alignment horizontal="left"/>
    </xf>
    <xf numFmtId="165" fontId="7" fillId="0" borderId="0" xfId="1" applyNumberFormat="1" applyFont="1" applyAlignment="1">
      <alignment horizontal="right" wrapText="1"/>
    </xf>
    <xf numFmtId="0" fontId="19" fillId="0" borderId="0" xfId="8" applyFont="1">
      <alignment wrapText="1"/>
    </xf>
    <xf numFmtId="0" fontId="8" fillId="9" borderId="0" xfId="0" applyFont="1" applyFill="1" applyAlignment="1">
      <alignment vertical="center" wrapText="1"/>
    </xf>
    <xf numFmtId="0" fontId="6" fillId="9" borderId="12" xfId="0" applyFont="1" applyFill="1" applyBorder="1" applyAlignment="1">
      <alignment horizontal="left" vertical="center" indent="1"/>
    </xf>
    <xf numFmtId="0" fontId="11" fillId="0" borderId="0" xfId="0" applyFont="1" applyAlignment="1">
      <alignment horizontal="left"/>
    </xf>
    <xf numFmtId="0" fontId="43" fillId="0" borderId="0" xfId="0" applyFont="1"/>
    <xf numFmtId="3" fontId="8" fillId="0" borderId="10" xfId="8" applyNumberFormat="1" applyFont="1" applyBorder="1">
      <alignment wrapText="1"/>
    </xf>
    <xf numFmtId="0" fontId="7" fillId="10" borderId="0" xfId="8" applyFill="1" applyAlignment="1">
      <alignment horizontal="left" wrapText="1" indent="1"/>
    </xf>
    <xf numFmtId="0" fontId="8" fillId="0" borderId="0" xfId="8" applyFont="1" applyAlignment="1">
      <alignment horizontal="right" vertical="top" wrapText="1"/>
    </xf>
    <xf numFmtId="0" fontId="12" fillId="0" borderId="0" xfId="0" applyFont="1" applyAlignment="1">
      <alignment horizontal="right" vertical="top"/>
    </xf>
    <xf numFmtId="165" fontId="7" fillId="0" borderId="0" xfId="1" applyNumberFormat="1" applyFont="1" applyFill="1" applyAlignment="1">
      <alignment horizontal="right" wrapText="1"/>
    </xf>
    <xf numFmtId="168" fontId="7" fillId="0" borderId="0" xfId="1" applyNumberFormat="1" applyFont="1"/>
    <xf numFmtId="0" fontId="7" fillId="13" borderId="0" xfId="0" applyFont="1" applyFill="1"/>
    <xf numFmtId="165" fontId="7" fillId="13" borderId="0" xfId="1" applyNumberFormat="1" applyFont="1" applyFill="1"/>
    <xf numFmtId="165" fontId="7" fillId="0" borderId="0" xfId="0" applyNumberFormat="1" applyFont="1"/>
    <xf numFmtId="0" fontId="5" fillId="0" borderId="0" xfId="0" applyFont="1" applyAlignment="1">
      <alignment horizontal="center"/>
    </xf>
    <xf numFmtId="0" fontId="10" fillId="0" borderId="0" xfId="0" applyFont="1" applyAlignment="1">
      <alignment horizontal="center"/>
    </xf>
    <xf numFmtId="0" fontId="6" fillId="0" borderId="0" xfId="0" applyFont="1" applyAlignment="1">
      <alignment horizontal="center" wrapText="1"/>
    </xf>
    <xf numFmtId="0" fontId="8" fillId="0" borderId="0" xfId="9" applyAlignment="1">
      <alignment horizontal="center"/>
    </xf>
    <xf numFmtId="0" fontId="7" fillId="0" borderId="0" xfId="9" applyFont="1" applyAlignment="1">
      <alignment horizontal="center" wrapText="1"/>
    </xf>
    <xf numFmtId="168" fontId="9" fillId="0" borderId="0" xfId="15" applyNumberFormat="1" applyFont="1" applyAlignment="1">
      <alignment horizontal="center" vertical="top" wrapText="1"/>
    </xf>
    <xf numFmtId="0" fontId="9" fillId="0" borderId="0" xfId="15" applyFont="1" applyAlignment="1">
      <alignment horizontal="center"/>
    </xf>
    <xf numFmtId="0" fontId="6" fillId="9" borderId="0" xfId="0" applyFont="1" applyFill="1" applyAlignment="1">
      <alignment horizontal="left" vertical="center" indent="1"/>
    </xf>
    <xf numFmtId="168" fontId="7" fillId="0" borderId="0" xfId="1" applyNumberFormat="1" applyFont="1" applyFill="1"/>
    <xf numFmtId="0" fontId="5" fillId="0" borderId="0" xfId="17" applyFont="1" applyAlignment="1">
      <alignment horizontal="left"/>
    </xf>
    <xf numFmtId="0" fontId="6" fillId="0" borderId="0" xfId="17" applyFont="1" applyAlignment="1">
      <alignment horizontal="left" wrapText="1"/>
    </xf>
    <xf numFmtId="0" fontId="6" fillId="0" borderId="0" xfId="17" applyFont="1" applyAlignment="1">
      <alignment horizontal="left"/>
    </xf>
    <xf numFmtId="0" fontId="7" fillId="15" borderId="0" xfId="8" applyFill="1">
      <alignment wrapText="1"/>
    </xf>
    <xf numFmtId="0" fontId="5" fillId="0" borderId="0" xfId="17" applyFont="1" applyAlignment="1">
      <alignment horizontal="left" wrapText="1"/>
    </xf>
    <xf numFmtId="166" fontId="9" fillId="0" borderId="0" xfId="10" applyFont="1" applyAlignment="1">
      <alignment horizontal="right" vertical="center"/>
    </xf>
    <xf numFmtId="166" fontId="13" fillId="0" borderId="10" xfId="7" applyFont="1">
      <alignment horizontal="right"/>
    </xf>
    <xf numFmtId="169" fontId="7" fillId="0" borderId="0" xfId="16" applyNumberFormat="1" applyFont="1" applyAlignment="1" applyProtection="1">
      <alignment horizontal="left"/>
      <protection locked="0"/>
    </xf>
    <xf numFmtId="169" fontId="7" fillId="0" borderId="0" xfId="16" quotePrefix="1" applyNumberFormat="1" applyFont="1" applyAlignment="1" applyProtection="1">
      <alignment horizontal="left"/>
      <protection locked="0"/>
    </xf>
    <xf numFmtId="0" fontId="6" fillId="9" borderId="0" xfId="8" applyFont="1" applyFill="1" applyAlignment="1">
      <alignment horizontal="left" wrapText="1"/>
    </xf>
    <xf numFmtId="0" fontId="7" fillId="0" borderId="0" xfId="8" applyAlignment="1">
      <alignment horizontal="center"/>
    </xf>
    <xf numFmtId="0" fontId="58" fillId="9" borderId="0" xfId="8" applyFont="1" applyFill="1" applyAlignment="1">
      <alignment horizontal="left" wrapText="1"/>
    </xf>
    <xf numFmtId="0" fontId="7" fillId="0" borderId="0" xfId="0" applyFont="1" applyAlignment="1">
      <alignment vertical="top" wrapText="1"/>
    </xf>
    <xf numFmtId="0" fontId="7" fillId="9" borderId="0" xfId="0" applyFont="1" applyFill="1" applyAlignment="1">
      <alignment wrapText="1"/>
    </xf>
    <xf numFmtId="0" fontId="8" fillId="9" borderId="0" xfId="0" applyFont="1" applyFill="1" applyAlignment="1">
      <alignment wrapText="1"/>
    </xf>
    <xf numFmtId="0" fontId="6" fillId="9" borderId="0" xfId="15" applyFont="1" applyFill="1" applyAlignment="1">
      <alignment wrapText="1"/>
    </xf>
    <xf numFmtId="0" fontId="7" fillId="11" borderId="0" xfId="8" applyFill="1">
      <alignment wrapText="1"/>
    </xf>
    <xf numFmtId="0" fontId="53" fillId="11" borderId="0" xfId="17" applyFill="1" applyAlignment="1">
      <alignment vertical="top" wrapText="1"/>
    </xf>
    <xf numFmtId="0" fontId="31" fillId="9" borderId="0" xfId="8" applyFont="1" applyFill="1">
      <alignment wrapText="1"/>
    </xf>
    <xf numFmtId="0" fontId="5" fillId="9" borderId="0" xfId="8" applyFont="1" applyFill="1">
      <alignment wrapText="1"/>
    </xf>
    <xf numFmtId="0" fontId="17" fillId="9" borderId="0" xfId="8" applyFont="1" applyFill="1">
      <alignment wrapText="1"/>
    </xf>
    <xf numFmtId="0" fontId="0" fillId="11" borderId="0" xfId="0" applyFill="1"/>
    <xf numFmtId="0" fontId="8" fillId="11" borderId="0" xfId="8" applyFont="1" applyFill="1">
      <alignment wrapText="1"/>
    </xf>
    <xf numFmtId="0" fontId="6" fillId="11" borderId="0" xfId="8" applyFont="1" applyFill="1" applyAlignment="1">
      <alignment horizontal="left" wrapText="1"/>
    </xf>
    <xf numFmtId="0" fontId="15" fillId="9" borderId="0" xfId="8" applyFont="1" applyFill="1">
      <alignment wrapText="1"/>
    </xf>
    <xf numFmtId="0" fontId="16" fillId="11" borderId="0" xfId="0" applyFont="1" applyFill="1"/>
    <xf numFmtId="0" fontId="7" fillId="11" borderId="0" xfId="0" applyFont="1" applyFill="1" applyAlignment="1">
      <alignment horizontal="right"/>
    </xf>
    <xf numFmtId="0" fontId="7" fillId="11" borderId="0" xfId="0" applyFont="1" applyFill="1"/>
    <xf numFmtId="0" fontId="7" fillId="11" borderId="0" xfId="9" applyFont="1" applyFill="1" applyAlignment="1">
      <alignment vertical="center"/>
    </xf>
    <xf numFmtId="0" fontId="7" fillId="11" borderId="0" xfId="9" applyFont="1" applyFill="1" applyAlignment="1">
      <alignment horizontal="right" wrapText="1"/>
    </xf>
    <xf numFmtId="0" fontId="7" fillId="11" borderId="0" xfId="9" applyFont="1" applyFill="1" applyAlignment="1"/>
    <xf numFmtId="166" fontId="8" fillId="11" borderId="0" xfId="11" applyFill="1">
      <alignment horizontal="right"/>
    </xf>
    <xf numFmtId="166" fontId="7" fillId="11" borderId="0" xfId="10" applyFill="1">
      <alignment horizontal="right"/>
    </xf>
    <xf numFmtId="166" fontId="8" fillId="11" borderId="10" xfId="7" applyFill="1">
      <alignment horizontal="right"/>
    </xf>
    <xf numFmtId="165" fontId="7" fillId="11" borderId="0" xfId="1" applyNumberFormat="1" applyFont="1" applyFill="1" applyAlignment="1">
      <alignment vertical="center" wrapText="1"/>
    </xf>
    <xf numFmtId="166" fontId="7" fillId="11" borderId="0" xfId="11" applyFont="1" applyFill="1">
      <alignment horizontal="right"/>
    </xf>
    <xf numFmtId="166" fontId="8" fillId="0" borderId="26" xfId="7" applyBorder="1">
      <alignment horizontal="right"/>
    </xf>
    <xf numFmtId="166" fontId="7" fillId="11" borderId="0" xfId="7" applyFont="1" applyFill="1" applyBorder="1">
      <alignment horizontal="right"/>
    </xf>
    <xf numFmtId="0" fontId="7" fillId="11" borderId="0" xfId="8" applyFill="1" applyAlignment="1"/>
    <xf numFmtId="0" fontId="18" fillId="11" borderId="0" xfId="8" applyFont="1" applyFill="1" applyAlignment="1"/>
    <xf numFmtId="0" fontId="8" fillId="16" borderId="0" xfId="9" applyFill="1" applyAlignment="1">
      <alignment horizontal="right" wrapText="1"/>
    </xf>
    <xf numFmtId="0" fontId="59" fillId="0" borderId="0" xfId="0" applyFont="1"/>
    <xf numFmtId="0" fontId="7" fillId="7" borderId="0" xfId="0" applyFont="1" applyFill="1" applyAlignment="1">
      <alignment horizontal="left" wrapText="1"/>
    </xf>
    <xf numFmtId="0" fontId="30" fillId="0" borderId="0" xfId="0" applyFont="1" applyAlignment="1">
      <alignment horizontal="center" wrapText="1"/>
    </xf>
    <xf numFmtId="0" fontId="0" fillId="0" borderId="0" xfId="0" applyAlignment="1">
      <alignment vertical="center"/>
    </xf>
    <xf numFmtId="0" fontId="0" fillId="0" borderId="0" xfId="0" applyAlignment="1">
      <alignment horizontal="left" vertical="center"/>
    </xf>
    <xf numFmtId="0" fontId="8" fillId="0" borderId="0" xfId="9" quotePrefix="1" applyAlignment="1">
      <alignment horizontal="center" wrapText="1"/>
    </xf>
    <xf numFmtId="0" fontId="7" fillId="0" borderId="0" xfId="8" applyAlignment="1">
      <alignment horizontal="left" vertical="top" wrapText="1"/>
    </xf>
    <xf numFmtId="0" fontId="7" fillId="9" borderId="0" xfId="8" applyFill="1" applyAlignment="1">
      <alignment horizontal="left" wrapText="1"/>
    </xf>
    <xf numFmtId="0" fontId="7" fillId="0" borderId="0" xfId="8" applyAlignment="1">
      <alignment horizontal="left" wrapText="1"/>
    </xf>
    <xf numFmtId="0" fontId="7" fillId="9" borderId="0" xfId="0" applyFont="1" applyFill="1" applyAlignment="1">
      <alignment horizontal="left" wrapText="1"/>
    </xf>
    <xf numFmtId="0" fontId="7" fillId="9" borderId="0" xfId="0" applyFont="1" applyFill="1" applyAlignment="1">
      <alignment horizontal="left" vertical="top" wrapText="1"/>
    </xf>
    <xf numFmtId="0" fontId="7" fillId="0" borderId="0" xfId="0" applyFont="1" applyAlignment="1">
      <alignment horizontal="left" wrapText="1"/>
    </xf>
    <xf numFmtId="0" fontId="7" fillId="0" borderId="0" xfId="0" applyFont="1" applyAlignment="1">
      <alignment horizontal="left" vertical="top" wrapText="1"/>
    </xf>
    <xf numFmtId="0" fontId="6" fillId="0" borderId="0" xfId="8" applyFont="1" applyAlignment="1">
      <alignment horizontal="left" wrapText="1"/>
    </xf>
    <xf numFmtId="0" fontId="15" fillId="0" borderId="0" xfId="8" applyFont="1" applyAlignment="1">
      <alignment horizontal="left" wrapText="1"/>
    </xf>
    <xf numFmtId="0" fontId="15" fillId="9" borderId="0" xfId="8" applyFont="1" applyFill="1" applyAlignment="1">
      <alignment horizontal="left" wrapText="1"/>
    </xf>
    <xf numFmtId="0" fontId="18" fillId="9" borderId="0" xfId="8" applyFont="1" applyFill="1" applyAlignment="1">
      <alignment horizontal="left" vertical="top" wrapText="1"/>
    </xf>
    <xf numFmtId="0" fontId="6" fillId="9" borderId="0" xfId="8" applyFont="1" applyFill="1" applyAlignment="1">
      <alignment horizontal="left" wrapText="1"/>
    </xf>
    <xf numFmtId="0" fontId="8" fillId="0" borderId="0" xfId="8" applyFont="1" applyAlignment="1">
      <alignment horizontal="left" wrapText="1"/>
    </xf>
    <xf numFmtId="0" fontId="8" fillId="9" borderId="0" xfId="8" applyFont="1" applyFill="1" applyAlignment="1">
      <alignment horizontal="left" wrapText="1"/>
    </xf>
    <xf numFmtId="0" fontId="6" fillId="9" borderId="0" xfId="15" applyFont="1" applyFill="1" applyAlignment="1">
      <alignment horizontal="left" wrapText="1"/>
    </xf>
    <xf numFmtId="0" fontId="8" fillId="9" borderId="0" xfId="8" applyFont="1" applyFill="1" applyAlignment="1">
      <alignment horizontal="left"/>
    </xf>
    <xf numFmtId="0" fontId="18" fillId="9" borderId="0" xfId="8" applyFont="1" applyFill="1" applyAlignment="1">
      <alignment horizontal="left" wrapText="1"/>
    </xf>
    <xf numFmtId="0" fontId="53" fillId="0" borderId="0" xfId="15" applyAlignment="1">
      <alignment horizontal="left" wrapText="1"/>
    </xf>
    <xf numFmtId="0" fontId="18" fillId="12" borderId="0" xfId="8" applyFont="1" applyFill="1" applyAlignment="1">
      <alignment horizontal="left" wrapText="1"/>
    </xf>
    <xf numFmtId="0" fontId="7" fillId="9" borderId="0" xfId="8" applyFill="1" applyAlignment="1">
      <alignment horizontal="left" vertical="top" wrapText="1"/>
    </xf>
    <xf numFmtId="0" fontId="9" fillId="0" borderId="0" xfId="15" applyFont="1" applyAlignment="1">
      <alignment horizontal="left" vertical="top" wrapText="1"/>
    </xf>
    <xf numFmtId="0" fontId="54" fillId="0" borderId="0" xfId="8" applyFont="1" applyAlignment="1">
      <alignment horizontal="left" wrapText="1"/>
    </xf>
    <xf numFmtId="0" fontId="7" fillId="11" borderId="0" xfId="8" applyFill="1" applyAlignment="1">
      <alignment horizontal="left" wrapText="1"/>
    </xf>
    <xf numFmtId="0" fontId="9" fillId="0" borderId="0" xfId="8" applyFont="1" applyAlignment="1">
      <alignment horizontal="left" wrapText="1"/>
    </xf>
    <xf numFmtId="0" fontId="6" fillId="0" borderId="0" xfId="15" applyFont="1" applyAlignment="1">
      <alignment horizontal="left" wrapText="1"/>
    </xf>
    <xf numFmtId="0" fontId="8" fillId="0" borderId="0" xfId="9" applyAlignment="1">
      <alignment horizontal="center" wrapText="1"/>
    </xf>
    <xf numFmtId="0" fontId="6" fillId="9" borderId="0" xfId="8" applyFont="1" applyFill="1">
      <alignment wrapText="1"/>
    </xf>
    <xf numFmtId="0" fontId="12" fillId="0" borderId="0" xfId="0" applyFont="1" applyAlignment="1">
      <alignment horizontal="center"/>
    </xf>
    <xf numFmtId="0" fontId="50" fillId="9" borderId="0" xfId="14" applyFont="1" applyFill="1" applyAlignment="1">
      <alignment horizontal="left" wrapText="1"/>
    </xf>
    <xf numFmtId="0" fontId="7" fillId="0" borderId="0" xfId="8">
      <alignment wrapText="1"/>
    </xf>
    <xf numFmtId="0" fontId="7" fillId="0" borderId="0" xfId="8" quotePrefix="1" applyAlignment="1">
      <alignment horizontal="left" wrapText="1"/>
    </xf>
    <xf numFmtId="0" fontId="7" fillId="9" borderId="0" xfId="9" applyFont="1" applyFill="1" applyAlignment="1">
      <alignment horizontal="left" wrapText="1"/>
    </xf>
    <xf numFmtId="0" fontId="7" fillId="9" borderId="0" xfId="8" applyFill="1">
      <alignment wrapText="1"/>
    </xf>
    <xf numFmtId="0" fontId="18" fillId="9" borderId="0" xfId="8" applyFont="1" applyFill="1">
      <alignment wrapText="1"/>
    </xf>
    <xf numFmtId="0" fontId="12" fillId="9" borderId="0" xfId="0" applyFont="1" applyFill="1" applyAlignment="1">
      <alignment horizontal="center"/>
    </xf>
    <xf numFmtId="0" fontId="9" fillId="9" borderId="0" xfId="8" applyFont="1" applyFill="1" applyAlignment="1">
      <alignment horizontal="left" vertical="center" wrapText="1"/>
    </xf>
    <xf numFmtId="0" fontId="7" fillId="0" borderId="0" xfId="8" applyAlignment="1">
      <alignment horizontal="left" vertical="center" wrapText="1"/>
    </xf>
    <xf numFmtId="0" fontId="7" fillId="8" borderId="17" xfId="0" applyFont="1" applyFill="1" applyBorder="1" applyAlignment="1">
      <alignment horizontal="left" vertical="center" wrapText="1" indent="1"/>
    </xf>
    <xf numFmtId="0" fontId="7" fillId="8" borderId="18" xfId="0" applyFont="1" applyFill="1" applyBorder="1" applyAlignment="1">
      <alignment horizontal="left" vertical="center" wrapText="1" indent="1"/>
    </xf>
    <xf numFmtId="0" fontId="7" fillId="8" borderId="19" xfId="0" applyFont="1" applyFill="1" applyBorder="1" applyAlignment="1">
      <alignment horizontal="left" vertical="center" wrapText="1" indent="1"/>
    </xf>
    <xf numFmtId="0" fontId="7" fillId="8" borderId="20" xfId="0" applyFont="1" applyFill="1" applyBorder="1" applyAlignment="1">
      <alignment horizontal="left" vertical="center" wrapText="1" indent="1"/>
    </xf>
    <xf numFmtId="0" fontId="7" fillId="8" borderId="0" xfId="0" applyFont="1" applyFill="1" applyAlignment="1">
      <alignment horizontal="left" vertical="center" wrapText="1" indent="1"/>
    </xf>
    <xf numFmtId="0" fontId="7" fillId="8" borderId="21" xfId="0" applyFont="1" applyFill="1" applyBorder="1" applyAlignment="1">
      <alignment horizontal="left" vertical="center" wrapText="1" indent="1"/>
    </xf>
    <xf numFmtId="0" fontId="7" fillId="8" borderId="22" xfId="0" applyFont="1" applyFill="1" applyBorder="1" applyAlignment="1">
      <alignment horizontal="left" vertical="center" wrapText="1" indent="1"/>
    </xf>
    <xf numFmtId="0" fontId="7" fillId="8" borderId="23" xfId="0" applyFont="1" applyFill="1" applyBorder="1" applyAlignment="1">
      <alignment horizontal="left" vertical="center" wrapText="1" indent="1"/>
    </xf>
    <xf numFmtId="0" fontId="7" fillId="8" borderId="24" xfId="0" applyFont="1" applyFill="1" applyBorder="1" applyAlignment="1">
      <alignment horizontal="left" vertical="center" wrapText="1" indent="1"/>
    </xf>
    <xf numFmtId="0" fontId="18" fillId="9" borderId="0" xfId="8" applyFont="1" applyFill="1" applyAlignment="1">
      <alignment horizontal="left" vertical="center" wrapText="1"/>
    </xf>
    <xf numFmtId="0" fontId="8" fillId="0" borderId="0" xfId="9">
      <alignment wrapText="1"/>
    </xf>
    <xf numFmtId="0" fontId="7" fillId="0" borderId="0" xfId="0" applyFont="1" applyAlignment="1">
      <alignment horizontal="left" vertical="center" wrapText="1"/>
    </xf>
    <xf numFmtId="169" fontId="7" fillId="0" borderId="0" xfId="16" quotePrefix="1" applyNumberFormat="1" applyFont="1" applyAlignment="1" applyProtection="1">
      <alignment horizontal="left" wrapText="1"/>
      <protection locked="0"/>
    </xf>
    <xf numFmtId="0" fontId="18" fillId="0" borderId="0" xfId="8" applyFont="1" applyAlignment="1">
      <alignment horizontal="left" wrapText="1"/>
    </xf>
    <xf numFmtId="0" fontId="9" fillId="9" borderId="0" xfId="8" applyFont="1" applyFill="1" applyAlignment="1">
      <alignment horizontal="left" wrapText="1"/>
    </xf>
    <xf numFmtId="0" fontId="41" fillId="9" borderId="0" xfId="8" applyFont="1" applyFill="1" applyAlignment="1">
      <alignment horizontal="left" wrapText="1"/>
    </xf>
    <xf numFmtId="0" fontId="18" fillId="9" borderId="0" xfId="9" applyFont="1" applyFill="1" applyAlignment="1">
      <alignment horizontal="left" wrapText="1"/>
    </xf>
    <xf numFmtId="0" fontId="27" fillId="9" borderId="0" xfId="8" applyFont="1" applyFill="1" applyAlignment="1">
      <alignment horizontal="left" wrapText="1"/>
    </xf>
    <xf numFmtId="0" fontId="7" fillId="0" borderId="0" xfId="9" applyFont="1" applyAlignment="1">
      <alignment horizontal="left" wrapText="1"/>
    </xf>
    <xf numFmtId="0" fontId="7" fillId="0" borderId="0" xfId="8" applyAlignment="1">
      <alignment vertical="top" wrapText="1"/>
    </xf>
    <xf numFmtId="0" fontId="6" fillId="0" borderId="0" xfId="17" applyFont="1" applyAlignment="1">
      <alignment horizontal="left" vertical="top" wrapText="1"/>
    </xf>
    <xf numFmtId="0" fontId="7" fillId="0" borderId="0" xfId="17" applyFont="1" applyAlignment="1">
      <alignment horizontal="left" wrapText="1"/>
    </xf>
    <xf numFmtId="0" fontId="8" fillId="0" borderId="0" xfId="9" applyAlignment="1"/>
    <xf numFmtId="0" fontId="18" fillId="9" borderId="0" xfId="8" applyFont="1" applyFill="1" applyAlignment="1">
      <alignment horizontal="left" wrapText="1" indent="1"/>
    </xf>
    <xf numFmtId="0" fontId="6" fillId="15" borderId="0" xfId="17" applyFont="1" applyFill="1" applyAlignment="1">
      <alignment horizontal="left"/>
    </xf>
    <xf numFmtId="0" fontId="6" fillId="11" borderId="0" xfId="17" applyFont="1" applyFill="1" applyAlignment="1">
      <alignment horizontal="left" vertical="top" wrapText="1"/>
    </xf>
    <xf numFmtId="0" fontId="18" fillId="9" borderId="0" xfId="8" quotePrefix="1" applyFont="1" applyFill="1">
      <alignment wrapText="1"/>
    </xf>
    <xf numFmtId="0" fontId="8" fillId="9" borderId="0" xfId="9" applyFill="1" applyAlignment="1">
      <alignment horizontal="center" wrapText="1"/>
    </xf>
    <xf numFmtId="0" fontId="18" fillId="0" borderId="0" xfId="8" applyFont="1" applyAlignment="1">
      <alignment horizontal="left" vertical="top" wrapText="1"/>
    </xf>
    <xf numFmtId="0" fontId="18" fillId="0" borderId="0" xfId="8" applyFont="1">
      <alignment wrapText="1"/>
    </xf>
    <xf numFmtId="0" fontId="18" fillId="0" borderId="0" xfId="9" applyFont="1" applyAlignment="1">
      <alignment horizontal="left" vertical="center"/>
    </xf>
    <xf numFmtId="0" fontId="8" fillId="0" borderId="0" xfId="9" applyAlignment="1">
      <alignment horizontal="right" wrapText="1"/>
    </xf>
    <xf numFmtId="0" fontId="13" fillId="0" borderId="0" xfId="0" applyFont="1" applyAlignment="1">
      <alignment horizontal="left"/>
    </xf>
    <xf numFmtId="0" fontId="9" fillId="0" borderId="0" xfId="0" applyFont="1" applyAlignment="1">
      <alignment horizontal="left" wrapText="1"/>
    </xf>
    <xf numFmtId="0" fontId="53" fillId="0" borderId="0" xfId="17" applyAlignment="1">
      <alignment horizontal="left" vertical="top" wrapText="1"/>
    </xf>
    <xf numFmtId="0" fontId="53" fillId="15" borderId="0" xfId="17" applyFill="1" applyAlignment="1">
      <alignment horizontal="left"/>
    </xf>
    <xf numFmtId="0" fontId="9" fillId="0" borderId="0" xfId="17" applyFont="1" applyAlignment="1">
      <alignment horizontal="left" wrapText="1"/>
    </xf>
    <xf numFmtId="0" fontId="8" fillId="0" borderId="0" xfId="9" applyAlignment="1">
      <alignment horizontal="left" wrapText="1"/>
    </xf>
    <xf numFmtId="0" fontId="18" fillId="0" borderId="0" xfId="0" applyFont="1" applyAlignment="1">
      <alignment horizontal="left" vertical="center" wrapText="1"/>
    </xf>
    <xf numFmtId="0" fontId="7" fillId="9" borderId="0" xfId="8" applyFill="1" applyAlignment="1">
      <alignment horizontal="left" vertical="center" wrapText="1"/>
    </xf>
    <xf numFmtId="0" fontId="18" fillId="0" borderId="0" xfId="8" applyFont="1" applyAlignment="1"/>
    <xf numFmtId="0" fontId="18" fillId="0" borderId="0" xfId="8" applyFont="1" applyAlignment="1">
      <alignment horizontal="left" vertical="center" wrapText="1"/>
    </xf>
  </cellXfs>
  <cellStyles count="18">
    <cellStyle name="Bold text" xfId="9" xr:uid="{00000000-0005-0000-0000-000000000000}"/>
    <cellStyle name="Bold value" xfId="11" xr:uid="{00000000-0005-0000-0000-000001000000}"/>
    <cellStyle name="Comma" xfId="1" builtinId="3"/>
    <cellStyle name="Grand total" xfId="7" xr:uid="{00000000-0005-0000-0000-000003000000}"/>
    <cellStyle name="Heading 1" xfId="2" builtinId="16" customBuiltin="1"/>
    <cellStyle name="Heading 2" xfId="3" builtinId="17" customBuiltin="1"/>
    <cellStyle name="Heading 3" xfId="4" builtinId="18" customBuiltin="1"/>
    <cellStyle name="Heading 4" xfId="5" builtinId="19" customBuiltin="1"/>
    <cellStyle name="Hyperlink" xfId="14" builtinId="8"/>
    <cellStyle name="Normal" xfId="0" builtinId="0"/>
    <cellStyle name="Normal 13" xfId="17" xr:uid="{4D623688-4BE0-4217-8162-FC7355A4A32A}"/>
    <cellStyle name="Normal 2 2" xfId="15" xr:uid="{8964BB90-F4FF-43A2-8BD3-7821930F544B}"/>
    <cellStyle name="Normal text" xfId="8" xr:uid="{00000000-0005-0000-0000-000009000000}"/>
    <cellStyle name="Normal_ACCOUNTS" xfId="16" xr:uid="{A2DAC9B7-63C0-46AE-B8F7-6420D19311CB}"/>
    <cellStyle name="Per cent" xfId="12" builtinId="5"/>
    <cellStyle name="Percentage%" xfId="13" xr:uid="{76B53BF4-51D1-4CAC-A4D1-346C70CA0818}"/>
    <cellStyle name="Sub total" xfId="6" xr:uid="{00000000-0005-0000-0000-00000B000000}"/>
    <cellStyle name="Value" xfId="10" xr:uid="{00000000-0005-0000-0000-00000C000000}"/>
  </cellStyles>
  <dxfs count="0"/>
  <tableStyles count="1" defaultTableStyle="TableStyleMedium2" defaultPivotStyle="PivotStyleLight16">
    <tableStyle name="Invisible" pivot="0" table="0" count="0" xr9:uid="{B863E9BB-012A-4185-ABAA-15A0BB1765DA}"/>
  </tableStyles>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66675</xdr:colOff>
      <xdr:row>49</xdr:row>
      <xdr:rowOff>57150</xdr:rowOff>
    </xdr:from>
    <xdr:to>
      <xdr:col>6</xdr:col>
      <xdr:colOff>149344</xdr:colOff>
      <xdr:row>53</xdr:row>
      <xdr:rowOff>132896</xdr:rowOff>
    </xdr:to>
    <xdr:pic>
      <xdr:nvPicPr>
        <xdr:cNvPr id="3" name="Picture 2">
          <a:extLst>
            <a:ext uri="{FF2B5EF4-FFF2-40B4-BE49-F238E27FC236}">
              <a16:creationId xmlns:a16="http://schemas.microsoft.com/office/drawing/2014/main" id="{6858722A-9071-9CFD-5083-0929C7FE1A7B}"/>
            </a:ext>
          </a:extLst>
        </xdr:cNvPr>
        <xdr:cNvPicPr>
          <a:picLocks noChangeAspect="1"/>
        </xdr:cNvPicPr>
      </xdr:nvPicPr>
      <xdr:blipFill>
        <a:blip xmlns:r="http://schemas.openxmlformats.org/officeDocument/2006/relationships" r:embed="rId1"/>
        <a:stretch>
          <a:fillRect/>
        </a:stretch>
      </xdr:blipFill>
      <xdr:spPr>
        <a:xfrm>
          <a:off x="3781425" y="6229350"/>
          <a:ext cx="1368544" cy="6186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england.nhs.uk/pay-syst/nhs-payment-scheme/" TargetMode="Externa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s>
</file>

<file path=xl/worksheets/_rels/sheet61.xml.rels><?xml version="1.0" encoding="UTF-8" standalone="yes"?>
<Relationships xmlns="http://schemas.openxmlformats.org/package/2006/relationships"><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62.xml.rels><?xml version="1.0" encoding="UTF-8" standalone="yes"?>
<Relationships xmlns="http://schemas.openxmlformats.org/package/2006/relationships"><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C000"/>
  </sheetPr>
  <dimension ref="A2:L92"/>
  <sheetViews>
    <sheetView workbookViewId="0"/>
  </sheetViews>
  <sheetFormatPr defaultColWidth="9.1796875" defaultRowHeight="14.5" x14ac:dyDescent="0.35"/>
  <cols>
    <col min="1" max="1" width="3.453125" customWidth="1"/>
    <col min="2" max="2" width="83.7265625" style="55" customWidth="1"/>
    <col min="4" max="4" width="19.26953125" customWidth="1"/>
  </cols>
  <sheetData>
    <row r="2" spans="1:4" ht="25" customHeight="1" x14ac:dyDescent="0.55000000000000004">
      <c r="B2" s="81" t="s">
        <v>0</v>
      </c>
    </row>
    <row r="3" spans="1:4" ht="18" customHeight="1" x14ac:dyDescent="0.55000000000000004">
      <c r="B3" s="81"/>
    </row>
    <row r="4" spans="1:4" ht="13.75" customHeight="1" x14ac:dyDescent="0.35">
      <c r="B4" s="180" t="s">
        <v>1607</v>
      </c>
    </row>
    <row r="5" spans="1:4" ht="13.75" customHeight="1" x14ac:dyDescent="0.35">
      <c r="B5" s="180"/>
    </row>
    <row r="7" spans="1:4" s="54" customFormat="1" ht="15.5" x14ac:dyDescent="0.35">
      <c r="A7" s="51" t="s">
        <v>1</v>
      </c>
      <c r="B7" s="52"/>
    </row>
    <row r="8" spans="1:4" ht="15.5" x14ac:dyDescent="0.35">
      <c r="D8" s="54"/>
    </row>
    <row r="9" spans="1:4" ht="29" x14ac:dyDescent="0.35">
      <c r="B9" s="55" t="s">
        <v>1354</v>
      </c>
      <c r="D9" s="54"/>
    </row>
    <row r="10" spans="1:4" ht="15.5" x14ac:dyDescent="0.35">
      <c r="D10" s="54"/>
    </row>
    <row r="11" spans="1:4" ht="78.75" customHeight="1" x14ac:dyDescent="0.35">
      <c r="B11" s="55" t="s">
        <v>1355</v>
      </c>
      <c r="D11" s="55"/>
    </row>
    <row r="13" spans="1:4" ht="77.25" customHeight="1" x14ac:dyDescent="0.35">
      <c r="B13" s="55" t="s">
        <v>1356</v>
      </c>
      <c r="D13" s="55"/>
    </row>
    <row r="15" spans="1:4" ht="101.5" x14ac:dyDescent="0.35">
      <c r="B15" s="55" t="s">
        <v>1357</v>
      </c>
    </row>
    <row r="17" spans="1:2" ht="43.5" x14ac:dyDescent="0.35">
      <c r="B17" s="55" t="s">
        <v>1621</v>
      </c>
    </row>
    <row r="19" spans="1:2" ht="15.5" x14ac:dyDescent="0.35">
      <c r="A19" s="51" t="s">
        <v>2</v>
      </c>
      <c r="B19" s="53"/>
    </row>
    <row r="21" spans="1:2" ht="43.5" x14ac:dyDescent="0.35">
      <c r="B21" s="55" t="s">
        <v>3</v>
      </c>
    </row>
    <row r="22" spans="1:2" ht="29" x14ac:dyDescent="0.35">
      <c r="B22" s="57" t="s">
        <v>4</v>
      </c>
    </row>
    <row r="23" spans="1:2" ht="101.5" x14ac:dyDescent="0.35">
      <c r="B23" s="56" t="s">
        <v>5</v>
      </c>
    </row>
    <row r="25" spans="1:2" ht="29" x14ac:dyDescent="0.35">
      <c r="B25" s="55" t="s">
        <v>6</v>
      </c>
    </row>
    <row r="27" spans="1:2" ht="72.5" x14ac:dyDescent="0.35">
      <c r="B27" s="129" t="s">
        <v>1313</v>
      </c>
    </row>
    <row r="29" spans="1:2" ht="92.25" customHeight="1" x14ac:dyDescent="0.35">
      <c r="B29" s="129" t="s">
        <v>1314</v>
      </c>
    </row>
    <row r="31" spans="1:2" ht="15.5" x14ac:dyDescent="0.35">
      <c r="A31" s="51" t="s">
        <v>7</v>
      </c>
      <c r="B31" s="53"/>
    </row>
    <row r="33" spans="1:12" ht="61" customHeight="1" x14ac:dyDescent="0.35">
      <c r="B33" s="55" t="s">
        <v>8</v>
      </c>
    </row>
    <row r="35" spans="1:12" ht="69.400000000000006" customHeight="1" x14ac:dyDescent="0.35">
      <c r="B35" s="55" t="s">
        <v>1358</v>
      </c>
    </row>
    <row r="37" spans="1:12" x14ac:dyDescent="0.35">
      <c r="B37" s="55" t="s">
        <v>1613</v>
      </c>
    </row>
    <row r="39" spans="1:12" ht="15.5" x14ac:dyDescent="0.35">
      <c r="A39" s="60" t="s">
        <v>9</v>
      </c>
      <c r="B39" s="61"/>
    </row>
    <row r="41" spans="1:12" ht="29" x14ac:dyDescent="0.35">
      <c r="B41" s="55" t="s">
        <v>10</v>
      </c>
    </row>
    <row r="43" spans="1:12" ht="29" x14ac:dyDescent="0.35">
      <c r="A43" s="76" t="s">
        <v>11</v>
      </c>
      <c r="B43" s="55" t="s">
        <v>12</v>
      </c>
      <c r="D43" s="55"/>
      <c r="E43" s="55"/>
      <c r="F43" s="55"/>
      <c r="G43" s="55"/>
      <c r="H43" s="55"/>
      <c r="I43" s="55"/>
      <c r="J43" s="55"/>
      <c r="K43" s="55"/>
      <c r="L43" s="55"/>
    </row>
    <row r="44" spans="1:12" x14ac:dyDescent="0.35">
      <c r="A44" s="76" t="s">
        <v>13</v>
      </c>
      <c r="B44" s="55" t="s">
        <v>1611</v>
      </c>
      <c r="D44" s="55"/>
      <c r="E44" s="55"/>
      <c r="F44" s="55"/>
      <c r="G44" s="55"/>
      <c r="H44" s="55"/>
      <c r="I44" s="55"/>
      <c r="J44" s="55"/>
      <c r="K44" s="55"/>
      <c r="L44" s="55"/>
    </row>
    <row r="45" spans="1:12" ht="29" x14ac:dyDescent="0.35">
      <c r="A45" s="76" t="s">
        <v>14</v>
      </c>
      <c r="B45" s="55" t="s">
        <v>1612</v>
      </c>
      <c r="D45" s="55"/>
      <c r="E45" s="55"/>
      <c r="F45" s="55"/>
      <c r="G45" s="55"/>
      <c r="H45" s="55"/>
      <c r="I45" s="55"/>
      <c r="J45" s="55"/>
      <c r="K45" s="55"/>
      <c r="L45" s="55"/>
    </row>
    <row r="46" spans="1:12" x14ac:dyDescent="0.35">
      <c r="A46" s="76" t="s">
        <v>15</v>
      </c>
      <c r="B46" s="55" t="s">
        <v>16</v>
      </c>
      <c r="D46" s="55"/>
      <c r="E46" s="55"/>
      <c r="F46" s="55"/>
      <c r="G46" s="55"/>
      <c r="H46" s="55"/>
      <c r="I46" s="55"/>
      <c r="J46" s="55"/>
      <c r="K46" s="55"/>
      <c r="L46" s="55"/>
    </row>
    <row r="47" spans="1:12" ht="43.5" x14ac:dyDescent="0.35">
      <c r="A47" s="76" t="s">
        <v>17</v>
      </c>
      <c r="B47" s="55" t="s">
        <v>18</v>
      </c>
      <c r="D47" s="55"/>
      <c r="E47" s="55"/>
      <c r="F47" s="55"/>
      <c r="G47" s="55"/>
      <c r="H47" s="55"/>
      <c r="I47" s="55"/>
      <c r="J47" s="55"/>
      <c r="K47" s="55"/>
      <c r="L47" s="55"/>
    </row>
    <row r="48" spans="1:12" x14ac:dyDescent="0.35">
      <c r="A48" s="77"/>
      <c r="D48" s="55"/>
      <c r="E48" s="55"/>
      <c r="F48" s="55"/>
      <c r="G48" s="55"/>
      <c r="H48" s="55"/>
      <c r="I48" s="55"/>
      <c r="J48" s="55"/>
      <c r="K48" s="55"/>
      <c r="L48" s="55"/>
    </row>
    <row r="49" spans="1:12" ht="15.5" x14ac:dyDescent="0.35">
      <c r="A49" s="60" t="s">
        <v>19</v>
      </c>
      <c r="B49" s="61"/>
      <c r="E49" s="55"/>
      <c r="F49" s="55"/>
      <c r="G49" s="55"/>
      <c r="H49" s="55"/>
      <c r="I49" s="55"/>
      <c r="J49" s="55"/>
      <c r="K49" s="55"/>
      <c r="L49" s="55"/>
    </row>
    <row r="50" spans="1:12" x14ac:dyDescent="0.35">
      <c r="D50" s="55"/>
      <c r="E50" s="55"/>
      <c r="F50" s="55"/>
      <c r="G50" s="55"/>
      <c r="H50" s="55"/>
      <c r="I50" s="55"/>
      <c r="J50" s="55"/>
      <c r="K50" s="55"/>
      <c r="L50" s="55"/>
    </row>
    <row r="51" spans="1:12" ht="43.5" x14ac:dyDescent="0.35">
      <c r="B51" s="55" t="s">
        <v>20</v>
      </c>
      <c r="D51" s="55"/>
      <c r="E51" s="55"/>
      <c r="F51" s="55"/>
      <c r="G51" s="55"/>
      <c r="H51" s="55"/>
      <c r="I51" s="55"/>
      <c r="J51" s="55"/>
      <c r="K51" s="55"/>
      <c r="L51" s="55"/>
    </row>
    <row r="52" spans="1:12" x14ac:dyDescent="0.35">
      <c r="D52" s="55"/>
      <c r="E52" s="55"/>
      <c r="F52" s="55"/>
      <c r="G52" s="55"/>
      <c r="H52" s="55"/>
      <c r="I52" s="55"/>
      <c r="J52" s="55"/>
      <c r="K52" s="55"/>
      <c r="L52" s="55"/>
    </row>
    <row r="53" spans="1:12" ht="58" x14ac:dyDescent="0.35">
      <c r="B53" s="55" t="s">
        <v>21</v>
      </c>
      <c r="D53" s="55"/>
      <c r="E53" s="55"/>
      <c r="F53" s="55"/>
      <c r="G53" s="55"/>
      <c r="H53" s="55"/>
      <c r="I53" s="55"/>
      <c r="J53" s="55"/>
      <c r="K53" s="55"/>
      <c r="L53" s="55"/>
    </row>
    <row r="54" spans="1:12" x14ac:dyDescent="0.35">
      <c r="D54" s="55"/>
      <c r="E54" s="55"/>
      <c r="F54" s="55"/>
      <c r="G54" s="55"/>
      <c r="H54" s="55"/>
      <c r="I54" s="55"/>
      <c r="J54" s="55"/>
      <c r="K54" s="55"/>
      <c r="L54" s="55"/>
    </row>
    <row r="55" spans="1:12" ht="15.5" x14ac:dyDescent="0.35">
      <c r="A55" s="60" t="s">
        <v>22</v>
      </c>
      <c r="B55" s="61"/>
      <c r="D55" s="55"/>
      <c r="E55" s="55"/>
      <c r="F55" s="55"/>
      <c r="G55" s="55"/>
      <c r="H55" s="55"/>
      <c r="I55" s="55"/>
      <c r="J55" s="55"/>
      <c r="K55" s="55"/>
      <c r="L55" s="55"/>
    </row>
    <row r="57" spans="1:12" x14ac:dyDescent="0.35">
      <c r="B57" s="55" t="s">
        <v>23</v>
      </c>
    </row>
    <row r="58" spans="1:12" ht="29" x14ac:dyDescent="0.35">
      <c r="B58" s="58" t="s">
        <v>24</v>
      </c>
    </row>
    <row r="59" spans="1:12" ht="63.75" customHeight="1" x14ac:dyDescent="0.35">
      <c r="B59" s="55" t="s">
        <v>25</v>
      </c>
    </row>
    <row r="60" spans="1:12" ht="43.5" x14ac:dyDescent="0.35">
      <c r="B60" s="55" t="s">
        <v>26</v>
      </c>
    </row>
    <row r="61" spans="1:12" x14ac:dyDescent="0.35">
      <c r="B61" s="55" t="s">
        <v>27</v>
      </c>
    </row>
    <row r="62" spans="1:12" ht="58" x14ac:dyDescent="0.35">
      <c r="B62" s="155" t="s">
        <v>28</v>
      </c>
    </row>
    <row r="63" spans="1:12" x14ac:dyDescent="0.35">
      <c r="B63" s="55" t="s">
        <v>29</v>
      </c>
    </row>
    <row r="64" spans="1:12" ht="43.5" x14ac:dyDescent="0.35">
      <c r="B64" s="55" t="s">
        <v>1359</v>
      </c>
    </row>
    <row r="65" spans="1:2" ht="58" x14ac:dyDescent="0.35">
      <c r="B65" s="155" t="s">
        <v>30</v>
      </c>
    </row>
    <row r="67" spans="1:2" ht="15.5" x14ac:dyDescent="0.35">
      <c r="A67" s="60" t="s">
        <v>31</v>
      </c>
      <c r="B67" s="61"/>
    </row>
    <row r="69" spans="1:2" ht="92.25" customHeight="1" x14ac:dyDescent="0.35">
      <c r="B69" s="75" t="s">
        <v>32</v>
      </c>
    </row>
    <row r="71" spans="1:2" ht="61.5" customHeight="1" x14ac:dyDescent="0.35">
      <c r="B71" s="55" t="s">
        <v>33</v>
      </c>
    </row>
    <row r="72" spans="1:2" ht="14.5" customHeight="1" x14ac:dyDescent="0.35"/>
    <row r="73" spans="1:2" ht="162" customHeight="1" x14ac:dyDescent="0.35">
      <c r="B73" s="55" t="s">
        <v>1622</v>
      </c>
    </row>
    <row r="75" spans="1:2" ht="101.5" x14ac:dyDescent="0.35">
      <c r="B75" s="55" t="s">
        <v>34</v>
      </c>
    </row>
    <row r="77" spans="1:2" ht="15.5" x14ac:dyDescent="0.35">
      <c r="A77" s="60" t="s">
        <v>1360</v>
      </c>
      <c r="B77" s="61"/>
    </row>
    <row r="78" spans="1:2" ht="15.5" x14ac:dyDescent="0.35">
      <c r="A78" s="54"/>
    </row>
    <row r="79" spans="1:2" ht="58" x14ac:dyDescent="0.35">
      <c r="A79" s="54"/>
      <c r="B79" s="55" t="s">
        <v>1610</v>
      </c>
    </row>
    <row r="80" spans="1:2" ht="15.5" x14ac:dyDescent="0.35">
      <c r="A80" s="54"/>
    </row>
    <row r="81" spans="1:2" ht="29" x14ac:dyDescent="0.35">
      <c r="A81" s="76" t="s">
        <v>11</v>
      </c>
      <c r="B81" s="55" t="s">
        <v>35</v>
      </c>
    </row>
    <row r="82" spans="1:2" x14ac:dyDescent="0.35">
      <c r="A82" s="76" t="s">
        <v>13</v>
      </c>
      <c r="B82" s="55" t="s">
        <v>1611</v>
      </c>
    </row>
    <row r="83" spans="1:2" x14ac:dyDescent="0.35">
      <c r="A83" s="76" t="s">
        <v>14</v>
      </c>
      <c r="B83" s="55" t="s">
        <v>1623</v>
      </c>
    </row>
    <row r="84" spans="1:2" x14ac:dyDescent="0.35">
      <c r="B84"/>
    </row>
    <row r="85" spans="1:2" s="54" customFormat="1" ht="15.5" x14ac:dyDescent="0.35">
      <c r="A85" s="51" t="s">
        <v>36</v>
      </c>
      <c r="B85" s="52"/>
    </row>
    <row r="87" spans="1:2" ht="29" x14ac:dyDescent="0.35">
      <c r="B87" s="55" t="s">
        <v>37</v>
      </c>
    </row>
    <row r="89" spans="1:2" x14ac:dyDescent="0.35">
      <c r="B89" s="55" t="s">
        <v>1609</v>
      </c>
    </row>
    <row r="91" spans="1:2" x14ac:dyDescent="0.35">
      <c r="A91" s="59"/>
    </row>
    <row r="92" spans="1:2" x14ac:dyDescent="0.35">
      <c r="A92" s="59"/>
    </row>
  </sheetData>
  <pageMargins left="0.7" right="0.7" top="0.75" bottom="0.75" header="0.3" footer="0.3"/>
  <pageSetup paperSize="9" scale="73" orientation="portrait" r:id="rId1"/>
  <rowBreaks count="2" manualBreakCount="2">
    <brk id="30" max="1" man="1"/>
    <brk id="66"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E810-C48E-4AC7-8A56-D8034E765807}">
  <sheetPr codeName="Sheet7">
    <tabColor rgb="FF92D050"/>
  </sheetPr>
  <dimension ref="A1:D59"/>
  <sheetViews>
    <sheetView topLeftCell="A48" workbookViewId="0"/>
  </sheetViews>
  <sheetFormatPr defaultColWidth="9.1796875" defaultRowHeight="11.5" x14ac:dyDescent="0.25"/>
  <cols>
    <col min="1" max="1" width="1.453125" style="31" customWidth="1"/>
    <col min="2" max="2" width="85.54296875" style="1" customWidth="1"/>
    <col min="3" max="3" width="12.1796875" style="1" customWidth="1"/>
    <col min="4" max="4" width="55.26953125" style="1" customWidth="1"/>
    <col min="5" max="16384" width="9.1796875" style="1"/>
  </cols>
  <sheetData>
    <row r="1" spans="1:4" s="245" customFormat="1" ht="16" hidden="1" customHeight="1" x14ac:dyDescent="0.25">
      <c r="A1" s="243">
        <f>'Acc''g policies 1'!A18+1</f>
        <v>4</v>
      </c>
      <c r="B1" s="256" t="str">
        <f>"Note 1." &amp; A1 &amp;" Revenue from contracts with customers"</f>
        <v>Note 1.4 Revenue from contracts with customers</v>
      </c>
    </row>
    <row r="2" spans="1:4" s="245" customFormat="1" ht="43" hidden="1" customHeight="1" x14ac:dyDescent="0.25">
      <c r="A2" s="243"/>
      <c r="B2" s="245" t="s">
        <v>619</v>
      </c>
    </row>
    <row r="3" spans="1:4" s="245" customFormat="1" hidden="1" x14ac:dyDescent="0.25">
      <c r="A3" s="243"/>
    </row>
    <row r="4" spans="1:4" s="245" customFormat="1" ht="92" hidden="1" x14ac:dyDescent="0.25">
      <c r="A4" s="243"/>
      <c r="B4" s="245" t="s">
        <v>620</v>
      </c>
    </row>
    <row r="5" spans="1:4" s="245" customFormat="1" ht="23" hidden="1" x14ac:dyDescent="0.25">
      <c r="A5" s="243"/>
      <c r="B5" s="251" t="s">
        <v>621</v>
      </c>
    </row>
    <row r="6" spans="1:4" s="245" customFormat="1" hidden="1" x14ac:dyDescent="0.25">
      <c r="A6" s="243"/>
      <c r="B6" s="255"/>
    </row>
    <row r="7" spans="1:4" s="245" customFormat="1" hidden="1" x14ac:dyDescent="0.25">
      <c r="A7" s="243"/>
      <c r="B7" s="256" t="s">
        <v>622</v>
      </c>
    </row>
    <row r="8" spans="1:4" s="245" customFormat="1" ht="46" hidden="1" x14ac:dyDescent="0.25">
      <c r="A8" s="243"/>
      <c r="B8" s="245" t="s">
        <v>1564</v>
      </c>
      <c r="D8" s="217"/>
    </row>
    <row r="9" spans="1:4" s="245" customFormat="1" ht="92" hidden="1" x14ac:dyDescent="0.25">
      <c r="A9" s="243"/>
      <c r="B9" s="245" t="s">
        <v>1565</v>
      </c>
      <c r="D9" s="217"/>
    </row>
    <row r="10" spans="1:4" s="245" customFormat="1" ht="43.5" hidden="1" customHeight="1" x14ac:dyDescent="0.25">
      <c r="A10" s="243"/>
      <c r="B10" s="245" t="s">
        <v>1454</v>
      </c>
      <c r="D10" s="217"/>
    </row>
    <row r="11" spans="1:4" s="245" customFormat="1" ht="46" hidden="1" customHeight="1" x14ac:dyDescent="0.25">
      <c r="A11" s="243"/>
      <c r="B11" s="251" t="s">
        <v>1455</v>
      </c>
      <c r="D11" s="217"/>
    </row>
    <row r="12" spans="1:4" s="245" customFormat="1" ht="92" hidden="1" x14ac:dyDescent="0.25">
      <c r="A12" s="243"/>
      <c r="B12" s="245" t="s">
        <v>1566</v>
      </c>
      <c r="D12" s="217"/>
    </row>
    <row r="13" spans="1:4" s="245" customFormat="1" ht="34.5" hidden="1" x14ac:dyDescent="0.25">
      <c r="A13" s="243"/>
      <c r="B13" s="245" t="s">
        <v>1456</v>
      </c>
      <c r="D13" s="217"/>
    </row>
    <row r="14" spans="1:4" s="245" customFormat="1" ht="57.5" hidden="1" x14ac:dyDescent="0.25">
      <c r="A14" s="243"/>
      <c r="B14" s="245" t="s">
        <v>1567</v>
      </c>
      <c r="D14" s="217"/>
    </row>
    <row r="15" spans="1:4" s="245" customFormat="1" ht="76" hidden="1" customHeight="1" x14ac:dyDescent="0.25">
      <c r="A15" s="243"/>
      <c r="B15" s="251" t="s">
        <v>1583</v>
      </c>
    </row>
    <row r="16" spans="1:4" s="245" customFormat="1" hidden="1" x14ac:dyDescent="0.25">
      <c r="A16" s="243"/>
      <c r="B16" s="251"/>
    </row>
    <row r="17" spans="1:2" s="245" customFormat="1" ht="23" hidden="1" x14ac:dyDescent="0.25">
      <c r="A17" s="243"/>
      <c r="B17" s="251" t="s">
        <v>1608</v>
      </c>
    </row>
    <row r="18" spans="1:2" s="245" customFormat="1" hidden="1" x14ac:dyDescent="0.25">
      <c r="A18" s="243"/>
      <c r="B18" s="251"/>
    </row>
    <row r="19" spans="1:2" s="245" customFormat="1" hidden="1" x14ac:dyDescent="0.25">
      <c r="A19" s="243"/>
      <c r="B19" s="257" t="s">
        <v>1304</v>
      </c>
    </row>
    <row r="20" spans="1:2" s="245" customFormat="1" ht="69" hidden="1" x14ac:dyDescent="0.25">
      <c r="A20" s="243"/>
      <c r="B20" s="250" t="s">
        <v>1457</v>
      </c>
    </row>
    <row r="21" spans="1:2" s="245" customFormat="1" hidden="1" x14ac:dyDescent="0.25">
      <c r="A21" s="243"/>
      <c r="B21" s="251"/>
    </row>
    <row r="22" spans="1:2" s="245" customFormat="1" hidden="1" x14ac:dyDescent="0.25">
      <c r="A22" s="243"/>
      <c r="B22" s="257" t="s">
        <v>623</v>
      </c>
    </row>
    <row r="23" spans="1:2" s="245" customFormat="1" ht="80.5" hidden="1" x14ac:dyDescent="0.25">
      <c r="A23" s="243"/>
      <c r="B23" s="250" t="s">
        <v>624</v>
      </c>
    </row>
    <row r="24" spans="1:2" s="245" customFormat="1" hidden="1" x14ac:dyDescent="0.25">
      <c r="A24" s="243"/>
      <c r="B24" s="250"/>
    </row>
    <row r="25" spans="1:2" s="245" customFormat="1" hidden="1" x14ac:dyDescent="0.25">
      <c r="A25" s="243"/>
      <c r="B25" s="258" t="s">
        <v>625</v>
      </c>
    </row>
    <row r="26" spans="1:2" s="245" customFormat="1" ht="92" hidden="1" x14ac:dyDescent="0.25">
      <c r="A26" s="243"/>
      <c r="B26" s="250" t="s">
        <v>626</v>
      </c>
    </row>
    <row r="27" spans="1:2" s="245" customFormat="1" hidden="1" x14ac:dyDescent="0.25">
      <c r="A27" s="243"/>
      <c r="B27" s="250"/>
    </row>
    <row r="28" spans="1:2" s="245" customFormat="1" hidden="1" x14ac:dyDescent="0.25">
      <c r="A28" s="243"/>
      <c r="B28" s="251" t="s">
        <v>627</v>
      </c>
    </row>
    <row r="29" spans="1:2" hidden="1" x14ac:dyDescent="0.25">
      <c r="B29" s="45"/>
    </row>
    <row r="30" spans="1:2" s="245" customFormat="1" hidden="1" x14ac:dyDescent="0.25">
      <c r="A30" s="243">
        <f>'Acc''g policies 1'!A23+1</f>
        <v>4</v>
      </c>
      <c r="B30" s="256" t="str">
        <f>"Note 1." &amp; A30 &amp;" Other forms of income"</f>
        <v>Note 1.4 Other forms of income</v>
      </c>
    </row>
    <row r="31" spans="1:2" s="245" customFormat="1" ht="9" hidden="1" customHeight="1" x14ac:dyDescent="0.25">
      <c r="A31" s="243"/>
      <c r="B31" s="256"/>
    </row>
    <row r="32" spans="1:2" s="245" customFormat="1" hidden="1" x14ac:dyDescent="0.25">
      <c r="A32" s="243"/>
      <c r="B32" s="256" t="s">
        <v>628</v>
      </c>
    </row>
    <row r="33" spans="1:4" s="245" customFormat="1" ht="57.5" hidden="1" x14ac:dyDescent="0.25">
      <c r="A33" s="243"/>
      <c r="B33" s="245" t="s">
        <v>1458</v>
      </c>
    </row>
    <row r="34" spans="1:4" s="245" customFormat="1" ht="6" hidden="1" customHeight="1" x14ac:dyDescent="0.25">
      <c r="A34" s="243"/>
    </row>
    <row r="35" spans="1:4" s="245" customFormat="1" hidden="1" x14ac:dyDescent="0.25">
      <c r="A35" s="243"/>
      <c r="B35" s="256" t="s">
        <v>629</v>
      </c>
    </row>
    <row r="36" spans="1:4" s="245" customFormat="1" ht="57" hidden="1" customHeight="1" x14ac:dyDescent="0.25">
      <c r="A36" s="243"/>
      <c r="B36" s="245" t="s">
        <v>1568</v>
      </c>
    </row>
    <row r="37" spans="1:4" s="245" customFormat="1" ht="6" hidden="1" customHeight="1" x14ac:dyDescent="0.25">
      <c r="A37" s="243"/>
    </row>
    <row r="38" spans="1:4" s="245" customFormat="1" hidden="1" x14ac:dyDescent="0.25">
      <c r="A38" s="243"/>
      <c r="B38" s="251" t="s">
        <v>630</v>
      </c>
    </row>
    <row r="39" spans="1:4" s="245" customFormat="1" hidden="1" x14ac:dyDescent="0.25">
      <c r="A39" s="243"/>
    </row>
    <row r="40" spans="1:4" x14ac:dyDescent="0.25">
      <c r="A40" s="31">
        <f>ROUNDDOWN('Acc''g policies 1'!A23,0)+1</f>
        <v>4</v>
      </c>
      <c r="B40" s="13" t="str">
        <f>"Note 1." &amp;A40&amp; " Expenditure on employee benefits"</f>
        <v>Note 1.4 Expenditure on employee benefits</v>
      </c>
    </row>
    <row r="41" spans="1:4" ht="9" customHeight="1" x14ac:dyDescent="0.25">
      <c r="B41" s="13"/>
    </row>
    <row r="42" spans="1:4" ht="66.75" customHeight="1" x14ac:dyDescent="0.25">
      <c r="B42" s="110" t="s">
        <v>631</v>
      </c>
    </row>
    <row r="43" spans="1:4" ht="173.5" x14ac:dyDescent="0.25">
      <c r="B43" s="110" t="s">
        <v>632</v>
      </c>
    </row>
    <row r="44" spans="1:4" s="245" customFormat="1" ht="138.5" hidden="1" x14ac:dyDescent="0.25">
      <c r="A44" s="243"/>
      <c r="B44" s="250" t="s">
        <v>633</v>
      </c>
      <c r="C44" s="251"/>
      <c r="D44" s="251"/>
    </row>
    <row r="45" spans="1:4" ht="8.25" customHeight="1" x14ac:dyDescent="0.25"/>
    <row r="46" spans="1:4" x14ac:dyDescent="0.25">
      <c r="A46" s="31">
        <f>A40+1</f>
        <v>5</v>
      </c>
      <c r="B46" s="13" t="str">
        <f>"Note 1." &amp; A46 &amp;" Expenditure on other goods and services"</f>
        <v>Note 1.5 Expenditure on other goods and services</v>
      </c>
    </row>
    <row r="47" spans="1:4" ht="4.5" customHeight="1" x14ac:dyDescent="0.25">
      <c r="B47" s="13"/>
    </row>
    <row r="48" spans="1:4" ht="43.5" customHeight="1" x14ac:dyDescent="0.25">
      <c r="B48" s="110" t="s">
        <v>634</v>
      </c>
    </row>
    <row r="49" spans="1:2" ht="0.75" customHeight="1" x14ac:dyDescent="0.25"/>
    <row r="50" spans="1:2" s="245" customFormat="1" hidden="1" x14ac:dyDescent="0.25">
      <c r="A50" s="243">
        <f>A46+1</f>
        <v>6</v>
      </c>
      <c r="B50" s="256" t="str">
        <f>"Note 1." &amp; A50 &amp;" Discontinued operations"</f>
        <v>Note 1.6 Discontinued operations</v>
      </c>
    </row>
    <row r="51" spans="1:2" s="245" customFormat="1" ht="57.5" hidden="1" x14ac:dyDescent="0.25">
      <c r="A51" s="243"/>
      <c r="B51" s="245" t="s">
        <v>1569</v>
      </c>
    </row>
    <row r="52" spans="1:2" s="245" customFormat="1" ht="6" hidden="1" customHeight="1" x14ac:dyDescent="0.25">
      <c r="A52" s="243"/>
    </row>
    <row r="53" spans="1:2" s="245" customFormat="1" hidden="1" x14ac:dyDescent="0.25">
      <c r="A53" s="243"/>
      <c r="B53" s="245" t="s">
        <v>1731</v>
      </c>
    </row>
    <row r="54" spans="1:2" x14ac:dyDescent="0.25">
      <c r="A54" s="31">
        <f>A46+1</f>
        <v>6</v>
      </c>
      <c r="B54" s="13" t="str">
        <f>"Note 1."&amp;A54 &amp; " Property, plant and equipment"</f>
        <v>Note 1.6 Property, plant and equipment</v>
      </c>
    </row>
    <row r="56" spans="1:2" x14ac:dyDescent="0.25">
      <c r="B56" s="13" t="s">
        <v>635</v>
      </c>
    </row>
    <row r="57" spans="1:2" ht="149.5" x14ac:dyDescent="0.25">
      <c r="B57" s="111" t="s">
        <v>1732</v>
      </c>
    </row>
    <row r="58" spans="1:2" ht="12" x14ac:dyDescent="0.3">
      <c r="B58" s="176" t="s">
        <v>636</v>
      </c>
    </row>
    <row r="59" spans="1:2" ht="92" x14ac:dyDescent="0.25">
      <c r="B59" s="111" t="s">
        <v>637</v>
      </c>
    </row>
  </sheetData>
  <pageMargins left="0.59055118110236227" right="0.59055118110236227" top="0.59055118110236227" bottom="0.59055118110236227" header="0" footer="0"/>
  <pageSetup paperSize="9" fitToHeight="0" orientation="portrait" r:id="rId1"/>
  <headerFoot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92D050"/>
  </sheetPr>
  <dimension ref="A1:E38"/>
  <sheetViews>
    <sheetView topLeftCell="A11" workbookViewId="0">
      <selection activeCell="B34" sqref="B34"/>
    </sheetView>
  </sheetViews>
  <sheetFormatPr defaultColWidth="9.1796875" defaultRowHeight="11.5" x14ac:dyDescent="0.25"/>
  <cols>
    <col min="1" max="1" width="1.54296875" style="31" customWidth="1"/>
    <col min="2" max="2" width="85.54296875" style="1" customWidth="1"/>
    <col min="3" max="3" width="12.1796875" style="1" customWidth="1"/>
    <col min="4" max="4" width="12.81640625" style="1" customWidth="1"/>
    <col min="5" max="16384" width="9.1796875" style="1"/>
  </cols>
  <sheetData>
    <row r="1" spans="1:4" x14ac:dyDescent="0.25">
      <c r="A1" s="31">
        <f>'Acc''g policies 2'!A46+1</f>
        <v>6</v>
      </c>
      <c r="B1" s="13" t="str">
        <f>"Note 1."&amp;A1 &amp; " Property, plant and equipment Continued"</f>
        <v>Note 1.6 Property, plant and equipment Continued</v>
      </c>
    </row>
    <row r="2" spans="1:4" ht="7" customHeight="1" x14ac:dyDescent="0.25"/>
    <row r="3" spans="1:4" s="245" customFormat="1" hidden="1" x14ac:dyDescent="0.25">
      <c r="A3" s="243"/>
      <c r="B3" s="256" t="s">
        <v>635</v>
      </c>
    </row>
    <row r="4" spans="1:4" s="245" customFormat="1" ht="149.5" hidden="1" x14ac:dyDescent="0.25">
      <c r="A4" s="243"/>
      <c r="B4" s="252" t="s">
        <v>1732</v>
      </c>
      <c r="C4" s="252"/>
      <c r="D4" s="252"/>
    </row>
    <row r="5" spans="1:4" s="245" customFormat="1" ht="18.399999999999999" hidden="1" customHeight="1" x14ac:dyDescent="0.3">
      <c r="A5" s="243"/>
      <c r="B5" s="262" t="s">
        <v>636</v>
      </c>
      <c r="C5" s="252"/>
      <c r="D5" s="252"/>
    </row>
    <row r="6" spans="1:4" s="245" customFormat="1" ht="92" hidden="1" x14ac:dyDescent="0.25">
      <c r="A6" s="243"/>
      <c r="B6" s="252" t="s">
        <v>637</v>
      </c>
      <c r="C6" s="252"/>
      <c r="D6" s="252"/>
    </row>
    <row r="7" spans="1:4" s="245" customFormat="1" hidden="1" x14ac:dyDescent="0.25">
      <c r="A7" s="243"/>
      <c r="B7" s="252"/>
      <c r="C7" s="252"/>
      <c r="D7" s="252"/>
    </row>
    <row r="8" spans="1:4" x14ac:dyDescent="0.25">
      <c r="B8" s="13" t="s">
        <v>638</v>
      </c>
      <c r="C8" s="111"/>
      <c r="D8" s="111"/>
    </row>
    <row r="9" spans="1:4" ht="17.149999999999999" customHeight="1" x14ac:dyDescent="0.3">
      <c r="B9" s="177" t="s">
        <v>639</v>
      </c>
      <c r="C9" s="111"/>
      <c r="D9" s="111"/>
    </row>
    <row r="10" spans="1:4" ht="40.75" customHeight="1" x14ac:dyDescent="0.25">
      <c r="B10" s="111" t="s">
        <v>640</v>
      </c>
      <c r="C10" s="111"/>
      <c r="D10" s="111"/>
    </row>
    <row r="11" spans="1:4" ht="62.15" customHeight="1" x14ac:dyDescent="0.25">
      <c r="B11" s="111" t="s">
        <v>641</v>
      </c>
      <c r="C11" s="111"/>
      <c r="D11" s="111"/>
    </row>
    <row r="12" spans="1:4" ht="38.9" customHeight="1" x14ac:dyDescent="0.25">
      <c r="B12" s="111" t="s">
        <v>642</v>
      </c>
      <c r="C12" s="111"/>
      <c r="D12" s="111"/>
    </row>
    <row r="13" spans="1:4" ht="15" customHeight="1" x14ac:dyDescent="0.25">
      <c r="B13" s="111" t="s">
        <v>643</v>
      </c>
      <c r="C13" s="111"/>
      <c r="D13" s="111"/>
    </row>
    <row r="14" spans="1:4" x14ac:dyDescent="0.25">
      <c r="B14" s="111" t="s">
        <v>644</v>
      </c>
      <c r="C14" s="111"/>
      <c r="D14" s="111"/>
    </row>
    <row r="15" spans="1:4" s="245" customFormat="1" ht="69" hidden="1" x14ac:dyDescent="0.25">
      <c r="A15" s="243"/>
      <c r="B15" s="259" t="s">
        <v>645</v>
      </c>
      <c r="C15" s="252"/>
      <c r="D15" s="252"/>
    </row>
    <row r="16" spans="1:4" ht="30.75" customHeight="1" x14ac:dyDescent="0.25">
      <c r="B16" s="111" t="s">
        <v>1733</v>
      </c>
      <c r="C16" s="111"/>
      <c r="D16" s="111"/>
    </row>
    <row r="17" spans="1:5" ht="39.75" customHeight="1" x14ac:dyDescent="0.25">
      <c r="B17" s="1" t="s">
        <v>1631</v>
      </c>
      <c r="C17" s="111"/>
      <c r="D17" s="111"/>
    </row>
    <row r="18" spans="1:5" ht="34.5" x14ac:dyDescent="0.25">
      <c r="B18" s="111" t="s">
        <v>646</v>
      </c>
      <c r="C18" s="111"/>
      <c r="D18" s="111"/>
    </row>
    <row r="19" spans="1:5" s="245" customFormat="1" ht="23" hidden="1" x14ac:dyDescent="0.25">
      <c r="A19" s="243"/>
      <c r="B19" s="260" t="s">
        <v>647</v>
      </c>
      <c r="C19" s="252"/>
      <c r="D19" s="252"/>
    </row>
    <row r="20" spans="1:5" ht="20.5" customHeight="1" x14ac:dyDescent="0.3">
      <c r="B20" s="178" t="s">
        <v>648</v>
      </c>
      <c r="C20" s="111"/>
      <c r="D20" s="111"/>
    </row>
    <row r="21" spans="1:5" ht="69" x14ac:dyDescent="0.25">
      <c r="B21" s="111" t="s">
        <v>1734</v>
      </c>
      <c r="C21" s="111"/>
      <c r="D21" s="111"/>
    </row>
    <row r="22" spans="1:5" s="245" customFormat="1" ht="19.75" hidden="1" customHeight="1" x14ac:dyDescent="0.3">
      <c r="A22" s="243"/>
      <c r="B22" s="262" t="s">
        <v>649</v>
      </c>
      <c r="C22" s="252"/>
      <c r="D22" s="252"/>
    </row>
    <row r="23" spans="1:5" s="245" customFormat="1" ht="103.5" hidden="1" x14ac:dyDescent="0.25">
      <c r="A23" s="243"/>
      <c r="B23" s="252" t="s">
        <v>650</v>
      </c>
      <c r="C23" s="252"/>
      <c r="D23" s="252"/>
    </row>
    <row r="24" spans="1:5" s="245" customFormat="1" ht="19.149999999999999" hidden="1" customHeight="1" x14ac:dyDescent="0.3">
      <c r="A24" s="243"/>
      <c r="B24" s="262" t="s">
        <v>549</v>
      </c>
      <c r="C24" s="252"/>
      <c r="D24" s="252"/>
    </row>
    <row r="25" spans="1:5" s="245" customFormat="1" ht="50.15" hidden="1" customHeight="1" x14ac:dyDescent="0.25">
      <c r="A25" s="243"/>
      <c r="B25" s="252" t="s">
        <v>1587</v>
      </c>
      <c r="C25" s="252"/>
      <c r="D25" s="252"/>
    </row>
    <row r="26" spans="1:5" s="245" customFormat="1" ht="92" hidden="1" x14ac:dyDescent="0.25">
      <c r="A26" s="243"/>
      <c r="B26" s="252" t="s">
        <v>1586</v>
      </c>
      <c r="C26" s="252"/>
      <c r="D26" s="252"/>
    </row>
    <row r="27" spans="1:5" s="245" customFormat="1" ht="20.5" hidden="1" customHeight="1" x14ac:dyDescent="0.25">
      <c r="A27" s="243"/>
      <c r="B27" s="256" t="s">
        <v>651</v>
      </c>
      <c r="C27" s="252"/>
      <c r="D27" s="252"/>
    </row>
    <row r="28" spans="1:5" s="245" customFormat="1" ht="27.25" hidden="1" customHeight="1" x14ac:dyDescent="0.25">
      <c r="A28" s="243"/>
      <c r="B28" s="252" t="s">
        <v>652</v>
      </c>
      <c r="C28" s="252"/>
      <c r="D28" s="252"/>
    </row>
    <row r="29" spans="1:5" s="245" customFormat="1" ht="92" hidden="1" x14ac:dyDescent="0.25">
      <c r="A29" s="243"/>
      <c r="B29" s="252" t="s">
        <v>653</v>
      </c>
      <c r="C29" s="252"/>
      <c r="D29" s="252"/>
    </row>
    <row r="30" spans="1:5" s="245" customFormat="1" ht="17.649999999999999" hidden="1" customHeight="1" x14ac:dyDescent="0.25">
      <c r="A30" s="243"/>
      <c r="B30" s="261" t="s">
        <v>654</v>
      </c>
      <c r="C30" s="252"/>
      <c r="D30" s="252"/>
    </row>
    <row r="31" spans="1:5" s="245" customFormat="1" ht="97.5" hidden="1" customHeight="1" x14ac:dyDescent="0.25">
      <c r="A31" s="243"/>
      <c r="B31" s="252" t="s">
        <v>655</v>
      </c>
      <c r="C31" s="252"/>
      <c r="D31" s="252"/>
      <c r="E31" s="263"/>
    </row>
    <row r="33" spans="1:4" ht="11.5" customHeight="1" x14ac:dyDescent="0.35">
      <c r="A33"/>
      <c r="B33" s="5" t="s">
        <v>649</v>
      </c>
      <c r="C33"/>
      <c r="D33"/>
    </row>
    <row r="34" spans="1:4" ht="36" customHeight="1" x14ac:dyDescent="0.35">
      <c r="A34"/>
      <c r="B34" s="395" t="s">
        <v>650</v>
      </c>
      <c r="C34" s="9"/>
      <c r="D34" s="9"/>
    </row>
    <row r="35" spans="1:4" ht="14.5" x14ac:dyDescent="0.35">
      <c r="A35"/>
      <c r="B35" s="9"/>
      <c r="C35"/>
      <c r="D35"/>
    </row>
    <row r="36" spans="1:4" ht="14.5" x14ac:dyDescent="0.35">
      <c r="A36"/>
      <c r="B36" s="264" t="s">
        <v>549</v>
      </c>
      <c r="C36"/>
      <c r="D36"/>
    </row>
    <row r="37" spans="1:4" ht="63.75" customHeight="1" x14ac:dyDescent="0.35">
      <c r="A37"/>
      <c r="B37" s="395" t="s">
        <v>1587</v>
      </c>
      <c r="C37" s="395"/>
      <c r="D37" s="395"/>
    </row>
    <row r="38" spans="1:4" ht="99.75" customHeight="1" x14ac:dyDescent="0.35">
      <c r="A38"/>
      <c r="B38" s="395" t="s">
        <v>1586</v>
      </c>
      <c r="C38" s="395"/>
      <c r="D38" s="395"/>
    </row>
  </sheetData>
  <pageMargins left="0.59055118110236227" right="0.59055118110236227" top="0.59055118110236227" bottom="0.59055118110236227" header="0" footer="0"/>
  <pageSetup paperSize="9" fitToHeight="0" orientation="portrait" r:id="rId1"/>
  <headerFoot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11B88-9857-4C9D-B653-2DBF9F5A6F8D}">
  <sheetPr>
    <tabColor rgb="FF92D050"/>
  </sheetPr>
  <dimension ref="A1:D47"/>
  <sheetViews>
    <sheetView topLeftCell="A14" workbookViewId="0">
      <selection activeCell="M40" sqref="M40"/>
    </sheetView>
  </sheetViews>
  <sheetFormatPr defaultRowHeight="14.5" x14ac:dyDescent="0.35"/>
  <cols>
    <col min="1" max="1" width="1.26953125" customWidth="1"/>
    <col min="2" max="2" width="58" customWidth="1"/>
    <col min="3" max="3" width="11.453125" customWidth="1"/>
    <col min="4" max="4" width="12.26953125" customWidth="1"/>
  </cols>
  <sheetData>
    <row r="1" spans="1:4" x14ac:dyDescent="0.35">
      <c r="A1" s="32">
        <f>'Acc''g policies 2'!A54</f>
        <v>6</v>
      </c>
      <c r="B1" s="424" t="s">
        <v>1759</v>
      </c>
    </row>
    <row r="2" spans="1:4" ht="6.75" customHeight="1" x14ac:dyDescent="0.35"/>
    <row r="3" spans="1:4" s="237" customFormat="1" hidden="1" x14ac:dyDescent="0.35">
      <c r="B3" s="233" t="s">
        <v>649</v>
      </c>
    </row>
    <row r="4" spans="1:4" s="237" customFormat="1" ht="108" hidden="1" customHeight="1" x14ac:dyDescent="0.35">
      <c r="B4" s="433" t="s">
        <v>650</v>
      </c>
      <c r="C4" s="433"/>
      <c r="D4" s="433"/>
    </row>
    <row r="5" spans="1:4" s="237" customFormat="1" ht="0.75" hidden="1" customHeight="1" x14ac:dyDescent="0.35">
      <c r="B5" s="396"/>
    </row>
    <row r="6" spans="1:4" s="237" customFormat="1" hidden="1" x14ac:dyDescent="0.35">
      <c r="B6" s="397" t="s">
        <v>549</v>
      </c>
    </row>
    <row r="7" spans="1:4" s="237" customFormat="1" ht="64.5" hidden="1" customHeight="1" x14ac:dyDescent="0.35">
      <c r="B7" s="434" t="s">
        <v>1587</v>
      </c>
      <c r="C7" s="434"/>
      <c r="D7" s="434"/>
    </row>
    <row r="8" spans="1:4" s="237" customFormat="1" ht="102" hidden="1" customHeight="1" x14ac:dyDescent="0.35">
      <c r="B8" s="434" t="s">
        <v>1586</v>
      </c>
      <c r="C8" s="434"/>
      <c r="D8" s="434"/>
    </row>
    <row r="9" spans="1:4" s="237" customFormat="1" ht="5.25" hidden="1" customHeight="1" x14ac:dyDescent="0.35">
      <c r="B9" s="396"/>
    </row>
    <row r="10" spans="1:4" x14ac:dyDescent="0.35">
      <c r="B10" s="264" t="s">
        <v>651</v>
      </c>
    </row>
    <row r="11" spans="1:4" ht="27.75" customHeight="1" x14ac:dyDescent="0.35">
      <c r="B11" s="435" t="s">
        <v>652</v>
      </c>
      <c r="C11" s="435"/>
      <c r="D11" s="435"/>
    </row>
    <row r="12" spans="1:4" ht="105" customHeight="1" x14ac:dyDescent="0.35">
      <c r="B12" s="435" t="s">
        <v>653</v>
      </c>
      <c r="C12" s="435"/>
      <c r="D12" s="435"/>
    </row>
    <row r="13" spans="1:4" x14ac:dyDescent="0.35">
      <c r="B13" s="264" t="s">
        <v>654</v>
      </c>
    </row>
    <row r="14" spans="1:4" ht="100.5" customHeight="1" x14ac:dyDescent="0.35">
      <c r="B14" s="436" t="s">
        <v>1632</v>
      </c>
      <c r="C14" s="436"/>
      <c r="D14" s="436"/>
    </row>
    <row r="15" spans="1:4" ht="5.25" customHeight="1" x14ac:dyDescent="0.35"/>
    <row r="16" spans="1:4" ht="24" customHeight="1" x14ac:dyDescent="0.35">
      <c r="B16" s="432" t="s">
        <v>659</v>
      </c>
      <c r="C16" s="432"/>
      <c r="D16" s="432"/>
    </row>
    <row r="17" spans="1:4" x14ac:dyDescent="0.35">
      <c r="B17" s="1"/>
      <c r="C17" s="80" t="s">
        <v>660</v>
      </c>
      <c r="D17" s="80" t="s">
        <v>661</v>
      </c>
    </row>
    <row r="18" spans="1:4" x14ac:dyDescent="0.35">
      <c r="B18" s="1"/>
      <c r="C18" s="80" t="s">
        <v>662</v>
      </c>
      <c r="D18" s="80" t="s">
        <v>662</v>
      </c>
    </row>
    <row r="19" spans="1:4" x14ac:dyDescent="0.35">
      <c r="B19" s="1" t="s">
        <v>664</v>
      </c>
      <c r="C19" s="41">
        <v>6</v>
      </c>
      <c r="D19" s="41">
        <v>69</v>
      </c>
    </row>
    <row r="20" spans="1:4" x14ac:dyDescent="0.35">
      <c r="B20" s="1" t="s">
        <v>666</v>
      </c>
      <c r="C20" s="41">
        <v>5</v>
      </c>
      <c r="D20" s="41">
        <v>25</v>
      </c>
    </row>
    <row r="21" spans="1:4" x14ac:dyDescent="0.35">
      <c r="B21" s="1" t="s">
        <v>667</v>
      </c>
      <c r="C21" s="41">
        <v>5</v>
      </c>
      <c r="D21" s="41">
        <v>14</v>
      </c>
    </row>
    <row r="22" spans="1:4" x14ac:dyDescent="0.35">
      <c r="B22" s="1" t="s">
        <v>668</v>
      </c>
      <c r="C22" s="41">
        <v>4</v>
      </c>
      <c r="D22" s="41">
        <v>14</v>
      </c>
    </row>
    <row r="23" spans="1:4" x14ac:dyDescent="0.35">
      <c r="B23" s="1" t="s">
        <v>669</v>
      </c>
      <c r="C23" s="41">
        <v>2</v>
      </c>
      <c r="D23" s="41">
        <v>20</v>
      </c>
    </row>
    <row r="25" spans="1:4" s="237" customFormat="1" hidden="1" x14ac:dyDescent="0.35">
      <c r="A25" s="243">
        <f>A1+1</f>
        <v>7</v>
      </c>
      <c r="B25" s="256" t="str">
        <f>"Note 1."&amp;A25&amp; " Intangible assets "</f>
        <v xml:space="preserve">Note 1.7 Intangible assets </v>
      </c>
      <c r="C25" s="245"/>
      <c r="D25" s="245"/>
    </row>
    <row r="26" spans="1:4" s="237" customFormat="1" hidden="1" x14ac:dyDescent="0.35">
      <c r="A26" s="243"/>
      <c r="B26" s="256" t="s">
        <v>635</v>
      </c>
      <c r="C26" s="245"/>
      <c r="D26" s="245"/>
    </row>
    <row r="27" spans="1:4" s="237" customFormat="1" ht="64.5" hidden="1" customHeight="1" x14ac:dyDescent="0.35">
      <c r="A27" s="243"/>
      <c r="B27" s="431" t="s">
        <v>1571</v>
      </c>
      <c r="C27" s="431"/>
      <c r="D27" s="431"/>
    </row>
    <row r="28" spans="1:4" s="237" customFormat="1" hidden="1" x14ac:dyDescent="0.35">
      <c r="A28" s="243"/>
      <c r="B28" s="431" t="s">
        <v>670</v>
      </c>
      <c r="C28" s="431"/>
      <c r="D28" s="431"/>
    </row>
    <row r="29" spans="1:4" s="237" customFormat="1" hidden="1" x14ac:dyDescent="0.35">
      <c r="A29" s="243"/>
      <c r="B29" s="431" t="s">
        <v>1572</v>
      </c>
      <c r="C29" s="431"/>
      <c r="D29" s="431"/>
    </row>
    <row r="30" spans="1:4" s="237" customFormat="1" ht="4.5" hidden="1" customHeight="1" x14ac:dyDescent="0.35">
      <c r="A30" s="243"/>
      <c r="B30" s="252"/>
      <c r="C30" s="252"/>
      <c r="D30" s="252"/>
    </row>
    <row r="31" spans="1:4" s="237" customFormat="1" hidden="1" x14ac:dyDescent="0.35">
      <c r="A31" s="243"/>
      <c r="B31" s="256" t="s">
        <v>638</v>
      </c>
      <c r="C31" s="245"/>
      <c r="D31" s="245"/>
    </row>
    <row r="32" spans="1:4" s="237" customFormat="1" ht="42" hidden="1" customHeight="1" x14ac:dyDescent="0.35">
      <c r="A32" s="243"/>
      <c r="B32" s="431" t="s">
        <v>671</v>
      </c>
      <c r="C32" s="431"/>
      <c r="D32" s="431"/>
    </row>
    <row r="33" spans="1:4" s="237" customFormat="1" ht="128.25" hidden="1" customHeight="1" x14ac:dyDescent="0.35">
      <c r="A33" s="243"/>
      <c r="B33" s="431" t="s">
        <v>672</v>
      </c>
      <c r="C33" s="431"/>
      <c r="D33" s="431"/>
    </row>
    <row r="34" spans="1:4" s="237" customFormat="1" ht="72" hidden="1" customHeight="1" x14ac:dyDescent="0.35">
      <c r="A34" s="243"/>
      <c r="B34" s="431" t="s">
        <v>672</v>
      </c>
      <c r="C34" s="431"/>
      <c r="D34" s="431"/>
    </row>
    <row r="36" spans="1:4" s="237" customFormat="1" hidden="1" x14ac:dyDescent="0.35">
      <c r="A36" s="243">
        <f>A1+1</f>
        <v>7</v>
      </c>
      <c r="B36" s="256" t="str">
        <f>"Note 1."&amp;A36&amp; " Investment properties"</f>
        <v>Note 1.7 Investment properties</v>
      </c>
    </row>
    <row r="37" spans="1:4" s="237" customFormat="1" ht="85.5" hidden="1" customHeight="1" x14ac:dyDescent="0.35">
      <c r="A37" s="243"/>
      <c r="B37" s="431" t="s">
        <v>684</v>
      </c>
      <c r="C37" s="431"/>
      <c r="D37" s="431"/>
    </row>
    <row r="38" spans="1:4" s="237" customFormat="1" hidden="1" x14ac:dyDescent="0.35">
      <c r="A38" s="243"/>
      <c r="B38" s="401"/>
    </row>
    <row r="39" spans="1:4" x14ac:dyDescent="0.35">
      <c r="A39" s="31">
        <f>A36</f>
        <v>7</v>
      </c>
      <c r="B39" s="134" t="str">
        <f>"Note 1."&amp;A39&amp; " Cash and cash equivalents"</f>
        <v>Note 1.7 Cash and cash equivalents</v>
      </c>
    </row>
    <row r="40" spans="1:4" ht="99.75" customHeight="1" x14ac:dyDescent="0.35">
      <c r="A40" s="31"/>
      <c r="B40" s="437" t="s">
        <v>685</v>
      </c>
      <c r="C40" s="437"/>
      <c r="D40" s="437"/>
    </row>
    <row r="41" spans="1:4" x14ac:dyDescent="0.35">
      <c r="A41" s="31"/>
      <c r="B41" s="131"/>
    </row>
    <row r="42" spans="1:4" ht="12" customHeight="1" x14ac:dyDescent="0.35">
      <c r="A42" s="31">
        <f>A39+1</f>
        <v>8</v>
      </c>
      <c r="B42" s="13" t="str">
        <f>"Note 1."&amp; A42&amp; " Financial assets and financial liabilities"</f>
        <v>Note 1.8 Financial assets and financial liabilities</v>
      </c>
    </row>
    <row r="43" spans="1:4" ht="5.25" customHeight="1" x14ac:dyDescent="0.35">
      <c r="A43" s="31"/>
      <c r="B43" s="13"/>
    </row>
    <row r="44" spans="1:4" x14ac:dyDescent="0.35">
      <c r="A44" s="31"/>
      <c r="B44" s="13" t="s">
        <v>635</v>
      </c>
    </row>
    <row r="45" spans="1:4" ht="66" customHeight="1" x14ac:dyDescent="0.35">
      <c r="A45" s="31"/>
      <c r="B45" s="432" t="s">
        <v>686</v>
      </c>
      <c r="C45" s="432"/>
      <c r="D45" s="432"/>
    </row>
    <row r="46" spans="1:4" ht="3" customHeight="1" x14ac:dyDescent="0.35">
      <c r="A46" s="31"/>
      <c r="B46" s="1"/>
    </row>
    <row r="47" spans="1:4" ht="50.25" customHeight="1" x14ac:dyDescent="0.35">
      <c r="A47" s="31"/>
      <c r="B47" s="432" t="s">
        <v>687</v>
      </c>
      <c r="C47" s="432"/>
      <c r="D47" s="432"/>
    </row>
  </sheetData>
  <mergeCells count="17">
    <mergeCell ref="B32:D32"/>
    <mergeCell ref="B33:D33"/>
    <mergeCell ref="B45:D45"/>
    <mergeCell ref="B47:D47"/>
    <mergeCell ref="B16:D16"/>
    <mergeCell ref="B4:D4"/>
    <mergeCell ref="B7:D7"/>
    <mergeCell ref="B8:D8"/>
    <mergeCell ref="B11:D11"/>
    <mergeCell ref="B12:D12"/>
    <mergeCell ref="B14:D14"/>
    <mergeCell ref="B34:D34"/>
    <mergeCell ref="B37:D37"/>
    <mergeCell ref="B40:D40"/>
    <mergeCell ref="B27:D27"/>
    <mergeCell ref="B28:D28"/>
    <mergeCell ref="B29:D29"/>
  </mergeCells>
  <pageMargins left="0.59055118110236227" right="0.59055118110236227" top="0.59055118110236227" bottom="0.59055118110236227" header="0" footer="0"/>
  <pageSetup paperSize="9" orientation="portrait" r:id="rId1"/>
  <headerFoot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tabColor rgb="FFFF0000"/>
  </sheetPr>
  <dimension ref="A1:D47"/>
  <sheetViews>
    <sheetView topLeftCell="A19" workbookViewId="0"/>
  </sheetViews>
  <sheetFormatPr defaultColWidth="9.1796875" defaultRowHeight="14.15" customHeight="1" x14ac:dyDescent="0.25"/>
  <cols>
    <col min="1" max="1" width="1.54296875" style="31" customWidth="1"/>
    <col min="2" max="2" width="60.7265625" style="1" customWidth="1"/>
    <col min="3" max="3" width="12.1796875" style="1" customWidth="1"/>
    <col min="4" max="4" width="12.81640625" style="1" customWidth="1"/>
    <col min="5" max="16384" width="9.1796875" style="1"/>
  </cols>
  <sheetData>
    <row r="1" spans="1:4" s="245" customFormat="1" ht="11.5" hidden="1" x14ac:dyDescent="0.25">
      <c r="A1" s="243"/>
      <c r="B1" s="261" t="s">
        <v>656</v>
      </c>
      <c r="C1" s="252"/>
      <c r="D1" s="252"/>
    </row>
    <row r="2" spans="1:4" s="245" customFormat="1" ht="56.25" hidden="1" customHeight="1" x14ac:dyDescent="0.25">
      <c r="A2" s="243"/>
      <c r="B2" s="431" t="s">
        <v>1459</v>
      </c>
      <c r="C2" s="431"/>
      <c r="D2" s="431"/>
    </row>
    <row r="3" spans="1:4" s="245" customFormat="1" ht="63.65" hidden="1" customHeight="1" x14ac:dyDescent="0.3">
      <c r="A3" s="243"/>
      <c r="B3" s="439" t="s">
        <v>1460</v>
      </c>
      <c r="C3" s="439"/>
      <c r="D3" s="439"/>
    </row>
    <row r="4" spans="1:4" s="245" customFormat="1" ht="181" hidden="1" customHeight="1" x14ac:dyDescent="0.25">
      <c r="A4" s="243"/>
      <c r="B4" s="441" t="s">
        <v>1461</v>
      </c>
      <c r="C4" s="441"/>
      <c r="D4" s="441"/>
    </row>
    <row r="5" spans="1:4" s="245" customFormat="1" ht="25.5" hidden="1" customHeight="1" x14ac:dyDescent="0.25">
      <c r="A5" s="243"/>
      <c r="B5" s="440" t="s">
        <v>657</v>
      </c>
      <c r="C5" s="440"/>
      <c r="D5" s="440"/>
    </row>
    <row r="6" spans="1:4" s="245" customFormat="1" ht="73.5" hidden="1" customHeight="1" x14ac:dyDescent="0.25">
      <c r="A6" s="243"/>
      <c r="B6" s="431" t="s">
        <v>1570</v>
      </c>
      <c r="C6" s="431"/>
      <c r="D6" s="431"/>
    </row>
    <row r="7" spans="1:4" s="245" customFormat="1" ht="21.75" hidden="1" customHeight="1" x14ac:dyDescent="0.25">
      <c r="A7" s="243"/>
      <c r="B7" s="261" t="s">
        <v>658</v>
      </c>
      <c r="C7" s="252"/>
      <c r="D7" s="252"/>
    </row>
    <row r="8" spans="1:4" s="245" customFormat="1" ht="27.75" hidden="1" customHeight="1" x14ac:dyDescent="0.25">
      <c r="A8" s="243"/>
      <c r="B8" s="431" t="s">
        <v>659</v>
      </c>
      <c r="C8" s="431"/>
      <c r="D8" s="431"/>
    </row>
    <row r="9" spans="1:4" s="245" customFormat="1" ht="14.15" hidden="1" customHeight="1" x14ac:dyDescent="0.25">
      <c r="A9" s="243"/>
      <c r="C9" s="266" t="s">
        <v>660</v>
      </c>
      <c r="D9" s="266" t="s">
        <v>661</v>
      </c>
    </row>
    <row r="10" spans="1:4" s="245" customFormat="1" ht="14.15" hidden="1" customHeight="1" x14ac:dyDescent="0.25">
      <c r="A10" s="243"/>
      <c r="C10" s="266" t="s">
        <v>662</v>
      </c>
      <c r="D10" s="266" t="s">
        <v>662</v>
      </c>
    </row>
    <row r="11" spans="1:4" s="245" customFormat="1" ht="14.15" hidden="1" customHeight="1" x14ac:dyDescent="0.25">
      <c r="A11" s="243"/>
      <c r="B11" s="245" t="s">
        <v>663</v>
      </c>
      <c r="C11" s="218">
        <v>0</v>
      </c>
      <c r="D11" s="218">
        <v>0</v>
      </c>
    </row>
    <row r="12" spans="1:4" s="245" customFormat="1" ht="14.15" hidden="1" customHeight="1" x14ac:dyDescent="0.25">
      <c r="A12" s="243"/>
      <c r="B12" s="245" t="s">
        <v>664</v>
      </c>
      <c r="C12" s="218">
        <v>6</v>
      </c>
      <c r="D12" s="218">
        <v>69</v>
      </c>
    </row>
    <row r="13" spans="1:4" s="245" customFormat="1" ht="14.15" hidden="1" customHeight="1" x14ac:dyDescent="0.25">
      <c r="A13" s="243"/>
      <c r="B13" s="245" t="s">
        <v>665</v>
      </c>
      <c r="C13" s="218">
        <v>0</v>
      </c>
      <c r="D13" s="218">
        <v>0</v>
      </c>
    </row>
    <row r="14" spans="1:4" s="245" customFormat="1" ht="14.15" hidden="1" customHeight="1" x14ac:dyDescent="0.25">
      <c r="A14" s="243"/>
      <c r="B14" s="245" t="s">
        <v>666</v>
      </c>
      <c r="C14" s="218">
        <v>5</v>
      </c>
      <c r="D14" s="218">
        <v>25</v>
      </c>
    </row>
    <row r="15" spans="1:4" s="245" customFormat="1" ht="14.15" hidden="1" customHeight="1" x14ac:dyDescent="0.25">
      <c r="A15" s="243"/>
      <c r="B15" s="245" t="s">
        <v>667</v>
      </c>
      <c r="C15" s="218">
        <v>5</v>
      </c>
      <c r="D15" s="218">
        <v>14</v>
      </c>
    </row>
    <row r="16" spans="1:4" s="245" customFormat="1" ht="12.75" hidden="1" customHeight="1" x14ac:dyDescent="0.25">
      <c r="A16" s="243"/>
      <c r="B16" s="245" t="s">
        <v>668</v>
      </c>
      <c r="C16" s="218">
        <v>4</v>
      </c>
      <c r="D16" s="218">
        <v>14</v>
      </c>
    </row>
    <row r="17" spans="1:4" s="245" customFormat="1" ht="14.15" hidden="1" customHeight="1" x14ac:dyDescent="0.25">
      <c r="A17" s="243"/>
      <c r="B17" s="245" t="s">
        <v>669</v>
      </c>
      <c r="C17" s="218">
        <v>2</v>
      </c>
      <c r="D17" s="218">
        <v>20</v>
      </c>
    </row>
    <row r="18" spans="1:4" s="245" customFormat="1" ht="18.649999999999999" hidden="1" customHeight="1" x14ac:dyDescent="0.25">
      <c r="A18" s="243"/>
      <c r="B18" s="267"/>
      <c r="C18" s="218"/>
      <c r="D18" s="218"/>
    </row>
    <row r="19" spans="1:4" ht="14.15" customHeight="1" x14ac:dyDescent="0.25">
      <c r="A19" s="31">
        <f>'Acc''g policies 3'!A1+1</f>
        <v>7</v>
      </c>
      <c r="B19" s="13" t="str">
        <f>"Note 1."&amp;A19&amp; " Intangible assets "</f>
        <v xml:space="preserve">Note 1.7 Intangible assets </v>
      </c>
    </row>
    <row r="20" spans="1:4" ht="18.25" customHeight="1" x14ac:dyDescent="0.25">
      <c r="B20" s="13" t="s">
        <v>635</v>
      </c>
    </row>
    <row r="21" spans="1:4" ht="51" customHeight="1" x14ac:dyDescent="0.25">
      <c r="B21" s="432" t="s">
        <v>1571</v>
      </c>
      <c r="C21" s="432"/>
      <c r="D21" s="432"/>
    </row>
    <row r="22" spans="1:4" ht="86.25" customHeight="1" x14ac:dyDescent="0.25">
      <c r="B22" s="432" t="s">
        <v>670</v>
      </c>
      <c r="C22" s="432"/>
      <c r="D22" s="432"/>
    </row>
    <row r="23" spans="1:4" ht="60" customHeight="1" x14ac:dyDescent="0.25">
      <c r="B23" s="432" t="s">
        <v>1572</v>
      </c>
      <c r="C23" s="432"/>
      <c r="D23" s="432"/>
    </row>
    <row r="24" spans="1:4" ht="9.75" customHeight="1" x14ac:dyDescent="0.25">
      <c r="B24" s="111"/>
      <c r="C24" s="111"/>
      <c r="D24" s="111"/>
    </row>
    <row r="25" spans="1:4" ht="14.15" customHeight="1" x14ac:dyDescent="0.25">
      <c r="B25" s="13" t="s">
        <v>638</v>
      </c>
    </row>
    <row r="26" spans="1:4" ht="37.5" customHeight="1" x14ac:dyDescent="0.25">
      <c r="B26" s="432" t="s">
        <v>671</v>
      </c>
      <c r="C26" s="432"/>
      <c r="D26" s="432"/>
    </row>
    <row r="27" spans="1:4" ht="112.5" customHeight="1" x14ac:dyDescent="0.25">
      <c r="B27" s="432" t="s">
        <v>672</v>
      </c>
      <c r="C27" s="432"/>
      <c r="D27" s="432"/>
    </row>
    <row r="28" spans="1:4" ht="21.75" customHeight="1" x14ac:dyDescent="0.3">
      <c r="B28" s="438" t="s">
        <v>673</v>
      </c>
      <c r="C28" s="438"/>
      <c r="D28" s="438"/>
    </row>
    <row r="29" spans="1:4" ht="28.15" customHeight="1" x14ac:dyDescent="0.25">
      <c r="B29" s="432" t="s">
        <v>674</v>
      </c>
      <c r="C29" s="432"/>
      <c r="D29" s="432"/>
    </row>
    <row r="30" spans="1:4" ht="8.9" customHeight="1" x14ac:dyDescent="0.25">
      <c r="B30" s="111"/>
      <c r="C30" s="111"/>
      <c r="D30" s="111"/>
    </row>
    <row r="31" spans="1:4" ht="14.15" customHeight="1" x14ac:dyDescent="0.25">
      <c r="B31" s="13" t="s">
        <v>675</v>
      </c>
    </row>
    <row r="32" spans="1:4" ht="25.5" customHeight="1" x14ac:dyDescent="0.25">
      <c r="B32" s="432" t="s">
        <v>676</v>
      </c>
      <c r="C32" s="432"/>
      <c r="D32" s="432"/>
    </row>
    <row r="33" spans="1:4" ht="14.15" customHeight="1" x14ac:dyDescent="0.25">
      <c r="B33" s="111"/>
      <c r="C33" s="80" t="s">
        <v>660</v>
      </c>
      <c r="D33" s="80" t="s">
        <v>661</v>
      </c>
    </row>
    <row r="34" spans="1:4" ht="14.15" customHeight="1" x14ac:dyDescent="0.25">
      <c r="B34" s="111"/>
      <c r="C34" s="80" t="s">
        <v>662</v>
      </c>
      <c r="D34" s="80" t="s">
        <v>662</v>
      </c>
    </row>
    <row r="35" spans="1:4" ht="7.5" customHeight="1" x14ac:dyDescent="0.25">
      <c r="B35" s="14"/>
      <c r="C35" s="41"/>
      <c r="D35" s="41"/>
    </row>
    <row r="36" spans="1:4" ht="14.15" hidden="1" customHeight="1" x14ac:dyDescent="0.25">
      <c r="B36" s="1" t="s">
        <v>668</v>
      </c>
      <c r="C36" s="265">
        <v>0</v>
      </c>
      <c r="D36" s="265">
        <v>0</v>
      </c>
    </row>
    <row r="37" spans="1:4" ht="14.15" hidden="1" customHeight="1" x14ac:dyDescent="0.25">
      <c r="B37" s="1" t="s">
        <v>677</v>
      </c>
      <c r="C37" s="265">
        <v>0</v>
      </c>
      <c r="D37" s="265">
        <v>0</v>
      </c>
    </row>
    <row r="38" spans="1:4" ht="14.15" hidden="1" customHeight="1" x14ac:dyDescent="0.25">
      <c r="B38" s="1" t="s">
        <v>678</v>
      </c>
      <c r="C38" s="265">
        <v>0</v>
      </c>
      <c r="D38" s="265">
        <v>0</v>
      </c>
    </row>
    <row r="39" spans="1:4" ht="14.15" customHeight="1" x14ac:dyDescent="0.25">
      <c r="B39" s="1" t="s">
        <v>679</v>
      </c>
      <c r="C39" s="41">
        <v>5</v>
      </c>
      <c r="D39" s="41">
        <v>5</v>
      </c>
    </row>
    <row r="40" spans="1:4" ht="14.15" hidden="1" customHeight="1" x14ac:dyDescent="0.25">
      <c r="B40" s="1" t="s">
        <v>680</v>
      </c>
      <c r="C40" s="265">
        <v>0</v>
      </c>
      <c r="D40" s="265">
        <v>0</v>
      </c>
    </row>
    <row r="41" spans="1:4" ht="14.15" hidden="1" customHeight="1" x14ac:dyDescent="0.25">
      <c r="B41" s="1" t="s">
        <v>681</v>
      </c>
      <c r="C41" s="265">
        <v>0</v>
      </c>
      <c r="D41" s="265">
        <v>0</v>
      </c>
    </row>
    <row r="42" spans="1:4" ht="14.15" hidden="1" customHeight="1" x14ac:dyDescent="0.25">
      <c r="B42" s="1" t="s">
        <v>682</v>
      </c>
      <c r="C42" s="265">
        <v>0</v>
      </c>
      <c r="D42" s="265">
        <v>0</v>
      </c>
    </row>
    <row r="43" spans="1:4" ht="7.5" customHeight="1" x14ac:dyDescent="0.25">
      <c r="B43" s="86"/>
    </row>
    <row r="44" spans="1:4" ht="14.15" customHeight="1" x14ac:dyDescent="0.25">
      <c r="A44" s="31">
        <f>A19+1</f>
        <v>8</v>
      </c>
      <c r="B44" s="13" t="str">
        <f>"Note 1."&amp;A44&amp; " Inventories "</f>
        <v xml:space="preserve">Note 1.8 Inventories </v>
      </c>
    </row>
    <row r="45" spans="1:4" ht="4.5" customHeight="1" x14ac:dyDescent="0.25"/>
    <row r="46" spans="1:4" ht="24.75" customHeight="1" x14ac:dyDescent="0.25">
      <c r="B46" s="432" t="s">
        <v>1633</v>
      </c>
      <c r="C46" s="432"/>
      <c r="D46" s="432"/>
    </row>
    <row r="47" spans="1:4" ht="66" customHeight="1" x14ac:dyDescent="0.25">
      <c r="B47" s="432" t="s">
        <v>1573</v>
      </c>
      <c r="C47" s="432"/>
      <c r="D47" s="432"/>
    </row>
  </sheetData>
  <mergeCells count="16">
    <mergeCell ref="B2:D2"/>
    <mergeCell ref="B3:D3"/>
    <mergeCell ref="B6:D6"/>
    <mergeCell ref="B23:D23"/>
    <mergeCell ref="B5:D5"/>
    <mergeCell ref="B4:D4"/>
    <mergeCell ref="B8:D8"/>
    <mergeCell ref="B21:D21"/>
    <mergeCell ref="B22:D22"/>
    <mergeCell ref="B27:D27"/>
    <mergeCell ref="B28:D28"/>
    <mergeCell ref="B46:D46"/>
    <mergeCell ref="B47:D47"/>
    <mergeCell ref="B26:D26"/>
    <mergeCell ref="B29:D29"/>
    <mergeCell ref="B32:D32"/>
  </mergeCells>
  <pageMargins left="0.59055118110236227" right="0.59055118110236227" top="0.59055118110236227" bottom="0.59055118110236227" header="0" footer="0"/>
  <pageSetup paperSize="9" fitToHeight="0" orientation="portrait" r:id="rId1"/>
  <headerFoot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tabColor rgb="FF92D050"/>
  </sheetPr>
  <dimension ref="A1:K90"/>
  <sheetViews>
    <sheetView topLeftCell="A12" workbookViewId="0"/>
  </sheetViews>
  <sheetFormatPr defaultColWidth="9.1796875" defaultRowHeight="11.5" x14ac:dyDescent="0.25"/>
  <cols>
    <col min="1" max="1" width="1.54296875" style="31" customWidth="1"/>
    <col min="2" max="2" width="85.81640625" style="1" customWidth="1"/>
    <col min="3" max="3" width="12.1796875" style="1" customWidth="1"/>
    <col min="4" max="4" width="12.81640625" style="1" customWidth="1"/>
    <col min="5" max="16384" width="9.1796875" style="1"/>
  </cols>
  <sheetData>
    <row r="1" spans="1:4" s="245" customFormat="1" hidden="1" x14ac:dyDescent="0.25">
      <c r="A1" s="243">
        <f>'Acc''g policies 4'!A19+1</f>
        <v>8</v>
      </c>
      <c r="B1" s="256" t="str">
        <f>"Note 1."&amp;A1&amp; " Inventories "</f>
        <v xml:space="preserve">Note 1.8 Inventories </v>
      </c>
    </row>
    <row r="2" spans="1:4" s="245" customFormat="1" ht="9.75" hidden="1" customHeight="1" x14ac:dyDescent="0.25">
      <c r="A2" s="243"/>
    </row>
    <row r="3" spans="1:4" s="245" customFormat="1" ht="23.5" hidden="1" customHeight="1" x14ac:dyDescent="0.25">
      <c r="A3" s="243"/>
      <c r="B3" s="252" t="s">
        <v>683</v>
      </c>
      <c r="C3" s="252"/>
      <c r="D3" s="252"/>
    </row>
    <row r="4" spans="1:4" s="245" customFormat="1" ht="65.25" hidden="1" customHeight="1" x14ac:dyDescent="0.25">
      <c r="A4" s="243"/>
      <c r="B4" s="252" t="s">
        <v>1573</v>
      </c>
      <c r="C4" s="252"/>
      <c r="D4" s="252"/>
    </row>
    <row r="5" spans="1:4" ht="6.75" hidden="1" customHeight="1" x14ac:dyDescent="0.25">
      <c r="B5" s="111"/>
      <c r="C5" s="111"/>
      <c r="D5" s="111"/>
    </row>
    <row r="6" spans="1:4" s="245" customFormat="1" hidden="1" x14ac:dyDescent="0.25">
      <c r="A6" s="243">
        <f>'Acc P3+1'!A39+1</f>
        <v>8</v>
      </c>
      <c r="B6" s="256" t="str">
        <f>"Note 1."&amp;A6&amp; " Investment properties"</f>
        <v>Note 1.8 Investment properties</v>
      </c>
      <c r="C6" s="252"/>
      <c r="D6" s="252"/>
    </row>
    <row r="7" spans="1:4" s="245" customFormat="1" ht="80.5" hidden="1" x14ac:dyDescent="0.25">
      <c r="A7" s="243"/>
      <c r="B7" s="245" t="s">
        <v>684</v>
      </c>
      <c r="C7" s="252"/>
      <c r="D7" s="252"/>
    </row>
    <row r="8" spans="1:4" s="245" customFormat="1" ht="6.75" hidden="1" customHeight="1" x14ac:dyDescent="0.25">
      <c r="A8" s="243"/>
      <c r="B8" s="401"/>
      <c r="C8" s="252"/>
      <c r="D8" s="252"/>
    </row>
    <row r="9" spans="1:4" s="245" customFormat="1" hidden="1" x14ac:dyDescent="0.25">
      <c r="A9" s="243">
        <f>A6+1</f>
        <v>9</v>
      </c>
      <c r="B9" s="402" t="str">
        <f>"Note 1."&amp;A9&amp; " Cash and cash equivalents"</f>
        <v>Note 1.9 Cash and cash equivalents</v>
      </c>
      <c r="C9" s="252"/>
      <c r="D9" s="252"/>
    </row>
    <row r="10" spans="1:4" s="245" customFormat="1" ht="80.5" hidden="1" x14ac:dyDescent="0.25">
      <c r="A10" s="243"/>
      <c r="B10" s="246" t="s">
        <v>685</v>
      </c>
      <c r="C10" s="252"/>
      <c r="D10" s="252"/>
    </row>
    <row r="11" spans="1:4" s="245" customFormat="1" ht="6.75" hidden="1" customHeight="1" x14ac:dyDescent="0.25">
      <c r="A11" s="243"/>
      <c r="B11" s="401"/>
      <c r="C11" s="252"/>
      <c r="D11" s="252"/>
    </row>
    <row r="12" spans="1:4" x14ac:dyDescent="0.25">
      <c r="A12" s="31">
        <f>'Acc P3+1'!A39+1</f>
        <v>8</v>
      </c>
      <c r="B12" s="13" t="str">
        <f>"Note 1."&amp; A12&amp; " Financial assets and financial liabilities - Continued"</f>
        <v>Note 1.8 Financial assets and financial liabilities - Continued</v>
      </c>
    </row>
    <row r="13" spans="1:4" ht="6.75" customHeight="1" x14ac:dyDescent="0.25">
      <c r="B13" s="13"/>
    </row>
    <row r="14" spans="1:4" s="245" customFormat="1" hidden="1" x14ac:dyDescent="0.25">
      <c r="A14" s="243"/>
      <c r="B14" s="256" t="s">
        <v>635</v>
      </c>
    </row>
    <row r="15" spans="1:4" s="245" customFormat="1" ht="57.5" hidden="1" x14ac:dyDescent="0.25">
      <c r="A15" s="243"/>
      <c r="B15" s="245" t="s">
        <v>686</v>
      </c>
      <c r="C15" s="252"/>
      <c r="D15" s="252"/>
    </row>
    <row r="16" spans="1:4" s="245" customFormat="1" ht="6.75" hidden="1" customHeight="1" x14ac:dyDescent="0.25">
      <c r="A16" s="243"/>
      <c r="C16" s="252"/>
      <c r="D16" s="252"/>
    </row>
    <row r="17" spans="1:4" s="245" customFormat="1" ht="35.25" hidden="1" customHeight="1" x14ac:dyDescent="0.25">
      <c r="A17" s="243"/>
      <c r="B17" s="245" t="s">
        <v>687</v>
      </c>
      <c r="C17" s="252"/>
      <c r="D17" s="252"/>
    </row>
    <row r="18" spans="1:4" s="245" customFormat="1" ht="7.5" hidden="1" customHeight="1" x14ac:dyDescent="0.25">
      <c r="A18" s="243"/>
      <c r="C18" s="252"/>
      <c r="D18" s="252"/>
    </row>
    <row r="19" spans="1:4" x14ac:dyDescent="0.25">
      <c r="B19" s="13" t="s">
        <v>688</v>
      </c>
    </row>
    <row r="20" spans="1:4" ht="46" x14ac:dyDescent="0.25">
      <c r="B20" s="1" t="s">
        <v>1750</v>
      </c>
      <c r="C20" s="111"/>
      <c r="D20" s="111"/>
    </row>
    <row r="21" spans="1:4" s="245" customFormat="1" ht="5.25" hidden="1" customHeight="1" x14ac:dyDescent="0.25">
      <c r="A21" s="243"/>
      <c r="C21" s="252"/>
      <c r="D21" s="252"/>
    </row>
    <row r="22" spans="1:4" s="245" customFormat="1" ht="23.5" hidden="1" customHeight="1" x14ac:dyDescent="0.25">
      <c r="A22" s="243"/>
      <c r="B22" s="250" t="s">
        <v>1388</v>
      </c>
      <c r="C22" s="252"/>
      <c r="D22" s="252"/>
    </row>
    <row r="23" spans="1:4" ht="7.5" customHeight="1" x14ac:dyDescent="0.25"/>
    <row r="24" spans="1:4" x14ac:dyDescent="0.25">
      <c r="B24" s="1" t="s">
        <v>1635</v>
      </c>
      <c r="C24" s="111"/>
      <c r="D24" s="111"/>
    </row>
    <row r="25" spans="1:4" ht="7.5" customHeight="1" x14ac:dyDescent="0.25">
      <c r="C25" s="111"/>
      <c r="D25" s="111"/>
    </row>
    <row r="26" spans="1:4" x14ac:dyDescent="0.25">
      <c r="B26" s="1" t="s">
        <v>1634</v>
      </c>
      <c r="C26" s="111"/>
      <c r="D26" s="111"/>
    </row>
    <row r="27" spans="1:4" ht="6.75" customHeight="1" x14ac:dyDescent="0.25"/>
    <row r="28" spans="1:4" x14ac:dyDescent="0.25">
      <c r="B28" s="14" t="s">
        <v>689</v>
      </c>
      <c r="C28" s="111"/>
      <c r="D28" s="111"/>
    </row>
    <row r="29" spans="1:4" ht="48" customHeight="1" x14ac:dyDescent="0.25">
      <c r="B29" s="1" t="s">
        <v>1636</v>
      </c>
    </row>
    <row r="30" spans="1:4" ht="6.75" customHeight="1" x14ac:dyDescent="0.25">
      <c r="B30" s="111"/>
      <c r="C30" s="111"/>
      <c r="D30" s="111"/>
    </row>
    <row r="31" spans="1:4" ht="46" x14ac:dyDescent="0.25">
      <c r="B31" s="1" t="s">
        <v>690</v>
      </c>
    </row>
    <row r="32" spans="1:4" ht="7.5" customHeight="1" x14ac:dyDescent="0.25">
      <c r="B32" s="111"/>
      <c r="C32" s="111"/>
      <c r="D32" s="111"/>
    </row>
    <row r="33" spans="1:11" ht="39" customHeight="1" x14ac:dyDescent="0.25">
      <c r="B33" s="1" t="s">
        <v>1637</v>
      </c>
    </row>
    <row r="34" spans="1:11" ht="7.5" customHeight="1" x14ac:dyDescent="0.25">
      <c r="B34" s="111"/>
      <c r="C34" s="111"/>
      <c r="D34" s="111"/>
    </row>
    <row r="35" spans="1:11" s="245" customFormat="1" hidden="1" x14ac:dyDescent="0.25">
      <c r="A35" s="243"/>
      <c r="B35" s="258" t="s">
        <v>691</v>
      </c>
    </row>
    <row r="36" spans="1:11" s="245" customFormat="1" ht="69" hidden="1" x14ac:dyDescent="0.25">
      <c r="A36" s="243"/>
      <c r="B36" s="259" t="s">
        <v>692</v>
      </c>
      <c r="C36" s="260"/>
      <c r="D36" s="260"/>
    </row>
    <row r="37" spans="1:11" s="245" customFormat="1" hidden="1" x14ac:dyDescent="0.25">
      <c r="A37" s="243"/>
      <c r="B37" s="251" t="s">
        <v>693</v>
      </c>
    </row>
    <row r="38" spans="1:11" s="245" customFormat="1" ht="8.25" hidden="1" customHeight="1" x14ac:dyDescent="0.25">
      <c r="A38" s="243"/>
      <c r="B38" s="252"/>
      <c r="C38" s="252"/>
      <c r="D38" s="252"/>
    </row>
    <row r="39" spans="1:11" s="245" customFormat="1" ht="23" hidden="1" x14ac:dyDescent="0.25">
      <c r="A39" s="243"/>
      <c r="B39" s="245" t="s">
        <v>694</v>
      </c>
    </row>
    <row r="40" spans="1:11" s="245" customFormat="1" ht="7.5" hidden="1" customHeight="1" x14ac:dyDescent="0.25">
      <c r="A40" s="243"/>
      <c r="B40" s="260"/>
      <c r="C40" s="260"/>
      <c r="D40" s="260"/>
      <c r="E40" s="260"/>
      <c r="F40" s="260"/>
      <c r="G40" s="260"/>
      <c r="H40" s="260"/>
      <c r="I40" s="260"/>
      <c r="J40" s="260"/>
      <c r="K40" s="260"/>
    </row>
    <row r="41" spans="1:11" s="245" customFormat="1" hidden="1" x14ac:dyDescent="0.25">
      <c r="A41" s="243"/>
      <c r="B41" s="258" t="s">
        <v>695</v>
      </c>
      <c r="D41" s="268"/>
    </row>
    <row r="42" spans="1:11" s="245" customFormat="1" ht="76.150000000000006" hidden="1" customHeight="1" x14ac:dyDescent="0.25">
      <c r="A42" s="243"/>
      <c r="B42" s="259" t="s">
        <v>696</v>
      </c>
      <c r="C42" s="252"/>
      <c r="D42" s="252"/>
    </row>
    <row r="43" spans="1:11" s="245" customFormat="1" hidden="1" x14ac:dyDescent="0.25">
      <c r="A43" s="243"/>
      <c r="B43" s="251" t="s">
        <v>697</v>
      </c>
    </row>
    <row r="44" spans="1:11" s="245" customFormat="1" ht="7.5" hidden="1" customHeight="1" x14ac:dyDescent="0.25">
      <c r="A44" s="243"/>
    </row>
    <row r="45" spans="1:11" s="245" customFormat="1" ht="32.15" hidden="1" customHeight="1" x14ac:dyDescent="0.25">
      <c r="A45" s="243"/>
      <c r="B45" s="245" t="s">
        <v>698</v>
      </c>
    </row>
    <row r="46" spans="1:11" s="245" customFormat="1" ht="6.75" hidden="1" customHeight="1" x14ac:dyDescent="0.25">
      <c r="A46" s="243"/>
    </row>
    <row r="47" spans="1:11" hidden="1" x14ac:dyDescent="0.25">
      <c r="B47" s="14" t="s">
        <v>699</v>
      </c>
    </row>
    <row r="48" spans="1:11" ht="23" hidden="1" x14ac:dyDescent="0.25">
      <c r="B48" s="1" t="s">
        <v>1638</v>
      </c>
    </row>
    <row r="49" spans="1:2" ht="7.5" hidden="1" customHeight="1" x14ac:dyDescent="0.25"/>
    <row r="50" spans="1:2" ht="57.5" hidden="1" x14ac:dyDescent="0.25">
      <c r="B50" s="1" t="s">
        <v>700</v>
      </c>
    </row>
    <row r="51" spans="1:2" ht="6.75" hidden="1" customHeight="1" x14ac:dyDescent="0.25"/>
    <row r="52" spans="1:2" s="245" customFormat="1" ht="34.5" hidden="1" x14ac:dyDescent="0.25">
      <c r="A52" s="243"/>
      <c r="B52" s="251" t="s">
        <v>701</v>
      </c>
    </row>
    <row r="53" spans="1:2" s="245" customFormat="1" ht="7.5" hidden="1" customHeight="1" x14ac:dyDescent="0.25">
      <c r="A53" s="243"/>
    </row>
    <row r="54" spans="1:2" ht="34.5" hidden="1" x14ac:dyDescent="0.25">
      <c r="B54" s="1" t="s">
        <v>702</v>
      </c>
    </row>
    <row r="55" spans="1:2" ht="6.75" hidden="1" customHeight="1" x14ac:dyDescent="0.25"/>
    <row r="56" spans="1:2" ht="23" hidden="1" x14ac:dyDescent="0.25">
      <c r="B56" s="1" t="s">
        <v>703</v>
      </c>
    </row>
    <row r="57" spans="1:2" ht="7.5" hidden="1" customHeight="1" x14ac:dyDescent="0.25"/>
    <row r="58" spans="1:2" hidden="1" x14ac:dyDescent="0.25">
      <c r="B58" s="13" t="s">
        <v>704</v>
      </c>
    </row>
    <row r="59" spans="1:2" ht="28.15" hidden="1" customHeight="1" x14ac:dyDescent="0.25">
      <c r="B59" s="1" t="s">
        <v>705</v>
      </c>
    </row>
    <row r="60" spans="1:2" ht="7.5" hidden="1" customHeight="1" x14ac:dyDescent="0.25"/>
    <row r="61" spans="1:2" hidden="1" x14ac:dyDescent="0.25">
      <c r="B61" s="1" t="s">
        <v>706</v>
      </c>
    </row>
    <row r="62" spans="1:2" x14ac:dyDescent="0.25">
      <c r="B62" s="14" t="s">
        <v>699</v>
      </c>
    </row>
    <row r="63" spans="1:2" ht="23" x14ac:dyDescent="0.25">
      <c r="B63" s="1" t="s">
        <v>1638</v>
      </c>
    </row>
    <row r="65" spans="1:2" ht="57.5" x14ac:dyDescent="0.25">
      <c r="B65" s="1" t="s">
        <v>700</v>
      </c>
    </row>
    <row r="66" spans="1:2" hidden="1" x14ac:dyDescent="0.25"/>
    <row r="67" spans="1:2" hidden="1" x14ac:dyDescent="0.25"/>
    <row r="69" spans="1:2" s="245" customFormat="1" hidden="1" x14ac:dyDescent="0.25">
      <c r="A69" s="243">
        <f>'Acc''g policies 5'!A80</f>
        <v>0</v>
      </c>
      <c r="B69" s="256" t="s">
        <v>1768</v>
      </c>
    </row>
    <row r="70" spans="1:2" s="245" customFormat="1" hidden="1" x14ac:dyDescent="0.25">
      <c r="A70" s="243"/>
    </row>
    <row r="71" spans="1:2" s="245" customFormat="1" hidden="1" x14ac:dyDescent="0.25">
      <c r="A71" s="243"/>
      <c r="B71" s="255" t="s">
        <v>699</v>
      </c>
    </row>
    <row r="72" spans="1:2" s="245" customFormat="1" ht="23" hidden="1" x14ac:dyDescent="0.25">
      <c r="A72" s="243"/>
      <c r="B72" s="245" t="s">
        <v>1638</v>
      </c>
    </row>
    <row r="73" spans="1:2" s="245" customFormat="1" hidden="1" x14ac:dyDescent="0.25">
      <c r="A73" s="243"/>
    </row>
    <row r="74" spans="1:2" s="245" customFormat="1" ht="57.5" hidden="1" x14ac:dyDescent="0.25">
      <c r="A74" s="243"/>
      <c r="B74" s="245" t="s">
        <v>700</v>
      </c>
    </row>
    <row r="75" spans="1:2" s="245" customFormat="1" hidden="1" x14ac:dyDescent="0.25">
      <c r="A75" s="243"/>
    </row>
    <row r="76" spans="1:2" s="245" customFormat="1" ht="34.5" hidden="1" x14ac:dyDescent="0.25">
      <c r="A76" s="243"/>
      <c r="B76" s="251" t="s">
        <v>701</v>
      </c>
    </row>
    <row r="77" spans="1:2" s="245" customFormat="1" hidden="1" x14ac:dyDescent="0.25">
      <c r="A77" s="243"/>
    </row>
    <row r="78" spans="1:2" ht="34.5" x14ac:dyDescent="0.25">
      <c r="B78" s="1" t="s">
        <v>702</v>
      </c>
    </row>
    <row r="80" spans="1:2" ht="23" x14ac:dyDescent="0.25">
      <c r="B80" s="1" t="s">
        <v>703</v>
      </c>
    </row>
    <row r="82" spans="1:2" x14ac:dyDescent="0.25">
      <c r="B82" s="13" t="s">
        <v>704</v>
      </c>
    </row>
    <row r="83" spans="1:2" ht="23" x14ac:dyDescent="0.25">
      <c r="B83" s="1" t="s">
        <v>705</v>
      </c>
    </row>
    <row r="85" spans="1:2" x14ac:dyDescent="0.25">
      <c r="B85" s="1" t="s">
        <v>706</v>
      </c>
    </row>
    <row r="87" spans="1:2" x14ac:dyDescent="0.25">
      <c r="A87" s="31">
        <f>A12+1</f>
        <v>9</v>
      </c>
      <c r="B87" s="14" t="str">
        <f>"Note 1."&amp;A87&amp; " Leases"</f>
        <v>Note 1.9 Leases</v>
      </c>
    </row>
    <row r="88" spans="1:2" ht="78.75" customHeight="1" x14ac:dyDescent="0.25">
      <c r="B88" s="135" t="s">
        <v>1389</v>
      </c>
    </row>
    <row r="90" spans="1:2" ht="23" x14ac:dyDescent="0.25">
      <c r="B90" s="1" t="s">
        <v>1390</v>
      </c>
    </row>
  </sheetData>
  <pageMargins left="0.59055118110236227" right="0.59055118110236227" top="0.59055118110236227" bottom="0.59055118110236227" header="0" footer="0"/>
  <pageSetup paperSize="9" fitToHeight="0" orientation="portrait" r:id="rId1"/>
  <headerFoot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tabColor rgb="FF92D050"/>
  </sheetPr>
  <dimension ref="A1:E49"/>
  <sheetViews>
    <sheetView tabSelected="1" topLeftCell="A23" workbookViewId="0"/>
  </sheetViews>
  <sheetFormatPr defaultColWidth="9.1796875" defaultRowHeight="11.5" x14ac:dyDescent="0.25"/>
  <cols>
    <col min="1" max="1" width="1.54296875" style="31" customWidth="1"/>
    <col min="2" max="2" width="85.81640625" style="1" customWidth="1"/>
    <col min="3" max="3" width="31.1796875" style="1" customWidth="1"/>
    <col min="4" max="4" width="13" style="1" customWidth="1"/>
    <col min="5" max="5" width="16" style="1" customWidth="1"/>
    <col min="6" max="16384" width="9.1796875" style="1"/>
  </cols>
  <sheetData>
    <row r="1" spans="1:2" s="245" customFormat="1" hidden="1" x14ac:dyDescent="0.25">
      <c r="A1" s="243">
        <f>'Acc''g policies 5'!A12</f>
        <v>8</v>
      </c>
      <c r="B1" s="256" t="s">
        <v>1768</v>
      </c>
    </row>
    <row r="2" spans="1:2" s="245" customFormat="1" ht="6" hidden="1" customHeight="1" x14ac:dyDescent="0.25">
      <c r="A2" s="243"/>
    </row>
    <row r="3" spans="1:2" s="245" customFormat="1" hidden="1" x14ac:dyDescent="0.25">
      <c r="A3" s="243"/>
      <c r="B3" s="255" t="s">
        <v>699</v>
      </c>
    </row>
    <row r="4" spans="1:2" s="245" customFormat="1" ht="23" hidden="1" x14ac:dyDescent="0.25">
      <c r="A4" s="243"/>
      <c r="B4" s="245" t="s">
        <v>1638</v>
      </c>
    </row>
    <row r="5" spans="1:2" s="245" customFormat="1" ht="7.5" hidden="1" customHeight="1" x14ac:dyDescent="0.25">
      <c r="A5" s="243"/>
    </row>
    <row r="6" spans="1:2" s="245" customFormat="1" ht="57.5" hidden="1" x14ac:dyDescent="0.25">
      <c r="A6" s="243"/>
      <c r="B6" s="245" t="s">
        <v>700</v>
      </c>
    </row>
    <row r="7" spans="1:2" s="245" customFormat="1" ht="6.75" hidden="1" customHeight="1" x14ac:dyDescent="0.25">
      <c r="A7" s="243"/>
    </row>
    <row r="8" spans="1:2" s="245" customFormat="1" ht="34.5" hidden="1" x14ac:dyDescent="0.25">
      <c r="A8" s="243"/>
      <c r="B8" s="251" t="s">
        <v>701</v>
      </c>
    </row>
    <row r="9" spans="1:2" s="245" customFormat="1" ht="7.5" hidden="1" customHeight="1" x14ac:dyDescent="0.25">
      <c r="A9" s="243"/>
    </row>
    <row r="10" spans="1:2" s="245" customFormat="1" ht="34.5" hidden="1" x14ac:dyDescent="0.25">
      <c r="A10" s="243"/>
      <c r="B10" s="245" t="s">
        <v>702</v>
      </c>
    </row>
    <row r="11" spans="1:2" s="245" customFormat="1" ht="6.75" hidden="1" customHeight="1" x14ac:dyDescent="0.25">
      <c r="A11" s="243"/>
    </row>
    <row r="12" spans="1:2" s="245" customFormat="1" ht="23" hidden="1" x14ac:dyDescent="0.25">
      <c r="A12" s="243"/>
      <c r="B12" s="245" t="s">
        <v>703</v>
      </c>
    </row>
    <row r="13" spans="1:2" s="245" customFormat="1" ht="7.5" hidden="1" customHeight="1" x14ac:dyDescent="0.25">
      <c r="A13" s="243"/>
    </row>
    <row r="14" spans="1:2" s="245" customFormat="1" hidden="1" x14ac:dyDescent="0.25">
      <c r="A14" s="243"/>
      <c r="B14" s="256" t="s">
        <v>704</v>
      </c>
    </row>
    <row r="15" spans="1:2" s="245" customFormat="1" ht="28.15" hidden="1" customHeight="1" x14ac:dyDescent="0.25">
      <c r="A15" s="243"/>
      <c r="B15" s="245" t="s">
        <v>705</v>
      </c>
    </row>
    <row r="16" spans="1:2" s="245" customFormat="1" ht="7.5" hidden="1" customHeight="1" x14ac:dyDescent="0.25">
      <c r="A16" s="243"/>
    </row>
    <row r="17" spans="1:5" s="245" customFormat="1" hidden="1" x14ac:dyDescent="0.25">
      <c r="A17" s="243"/>
      <c r="B17" s="245" t="s">
        <v>706</v>
      </c>
    </row>
    <row r="18" spans="1:5" s="245" customFormat="1" hidden="1" x14ac:dyDescent="0.25">
      <c r="A18" s="243"/>
    </row>
    <row r="19" spans="1:5" s="245" customFormat="1" hidden="1" x14ac:dyDescent="0.25">
      <c r="A19" s="243">
        <f>A1+1</f>
        <v>9</v>
      </c>
      <c r="B19" s="255" t="str">
        <f>"Note 1."&amp;A19&amp; " Leases"</f>
        <v>Note 1.9 Leases</v>
      </c>
    </row>
    <row r="20" spans="1:5" s="245" customFormat="1" ht="76.5" hidden="1" customHeight="1" x14ac:dyDescent="0.25">
      <c r="A20" s="243"/>
      <c r="B20" s="246" t="s">
        <v>1389</v>
      </c>
      <c r="C20" s="246"/>
      <c r="D20" s="246"/>
      <c r="E20" s="246"/>
    </row>
    <row r="21" spans="1:5" s="245" customFormat="1" ht="10.9" hidden="1" customHeight="1" x14ac:dyDescent="0.25">
      <c r="A21" s="243"/>
    </row>
    <row r="22" spans="1:5" s="245" customFormat="1" ht="23" hidden="1" x14ac:dyDescent="0.25">
      <c r="A22" s="243"/>
      <c r="B22" s="245" t="s">
        <v>1390</v>
      </c>
    </row>
    <row r="23" spans="1:5" s="399" customFormat="1" x14ac:dyDescent="0.25">
      <c r="A23" s="247">
        <f>'Acc''g policies 5'!A87</f>
        <v>9</v>
      </c>
      <c r="B23" s="14" t="str">
        <f>"Note 1."&amp;A23&amp; " Leases - Continued"</f>
        <v>Note 1.9 Leases - Continued</v>
      </c>
    </row>
    <row r="24" spans="1:5" ht="10.9" customHeight="1" x14ac:dyDescent="0.25"/>
    <row r="25" spans="1:5" x14ac:dyDescent="0.25">
      <c r="B25" s="14" t="s">
        <v>1400</v>
      </c>
    </row>
    <row r="26" spans="1:5" ht="16.5" customHeight="1" x14ac:dyDescent="0.3">
      <c r="B26" s="177" t="s">
        <v>1391</v>
      </c>
      <c r="C26" s="177"/>
      <c r="D26" s="177"/>
      <c r="E26" s="177"/>
    </row>
    <row r="27" spans="1:5" ht="69" x14ac:dyDescent="0.25">
      <c r="B27" s="1" t="s">
        <v>1392</v>
      </c>
    </row>
    <row r="28" spans="1:5" ht="97.5" customHeight="1" x14ac:dyDescent="0.25">
      <c r="B28" s="1" t="s">
        <v>1574</v>
      </c>
    </row>
    <row r="29" spans="1:5" ht="54" customHeight="1" x14ac:dyDescent="0.25">
      <c r="B29" s="1" t="s">
        <v>1639</v>
      </c>
    </row>
    <row r="30" spans="1:5" ht="6" customHeight="1" x14ac:dyDescent="0.25">
      <c r="B30" s="45"/>
    </row>
    <row r="31" spans="1:5" ht="15" customHeight="1" x14ac:dyDescent="0.3">
      <c r="B31" s="177" t="s">
        <v>1393</v>
      </c>
      <c r="C31" s="177"/>
      <c r="D31" s="177"/>
      <c r="E31" s="177"/>
    </row>
    <row r="32" spans="1:5" ht="64.5" customHeight="1" x14ac:dyDescent="0.25">
      <c r="B32" s="135" t="s">
        <v>1394</v>
      </c>
      <c r="C32" s="135"/>
      <c r="D32" s="135"/>
      <c r="E32" s="135"/>
    </row>
    <row r="33" spans="1:5" ht="75.75" customHeight="1" x14ac:dyDescent="0.25">
      <c r="B33" s="135" t="s">
        <v>1395</v>
      </c>
      <c r="C33" s="135"/>
      <c r="D33" s="135"/>
      <c r="E33" s="135"/>
    </row>
    <row r="35" spans="1:5" s="245" customFormat="1" hidden="1" x14ac:dyDescent="0.25">
      <c r="A35" s="243"/>
      <c r="B35" s="255" t="s">
        <v>1401</v>
      </c>
    </row>
    <row r="36" spans="1:5" s="245" customFormat="1" ht="73.5" hidden="1" customHeight="1" x14ac:dyDescent="0.25">
      <c r="A36" s="243"/>
      <c r="B36" s="246" t="s">
        <v>1396</v>
      </c>
      <c r="C36" s="246"/>
      <c r="D36" s="246"/>
      <c r="E36" s="246"/>
    </row>
    <row r="37" spans="1:5" s="245" customFormat="1" ht="20.25" hidden="1" customHeight="1" x14ac:dyDescent="0.3">
      <c r="A37" s="243"/>
      <c r="B37" s="269" t="s">
        <v>707</v>
      </c>
      <c r="C37" s="269"/>
      <c r="D37" s="269"/>
      <c r="E37" s="269"/>
    </row>
    <row r="38" spans="1:5" s="245" customFormat="1" ht="38.25" hidden="1" customHeight="1" x14ac:dyDescent="0.25">
      <c r="A38" s="243"/>
      <c r="B38" s="246" t="s">
        <v>1397</v>
      </c>
      <c r="C38" s="246"/>
      <c r="D38" s="246"/>
      <c r="E38" s="246"/>
    </row>
    <row r="39" spans="1:5" s="245" customFormat="1" hidden="1" x14ac:dyDescent="0.25">
      <c r="A39" s="243"/>
      <c r="B39" s="246"/>
      <c r="C39" s="246"/>
      <c r="D39" s="246"/>
      <c r="E39" s="246"/>
    </row>
    <row r="40" spans="1:5" s="245" customFormat="1" ht="16.5" hidden="1" customHeight="1" x14ac:dyDescent="0.3">
      <c r="A40" s="243"/>
      <c r="B40" s="269" t="s">
        <v>708</v>
      </c>
      <c r="C40" s="269"/>
      <c r="D40" s="269"/>
      <c r="E40" s="269"/>
    </row>
    <row r="41" spans="1:5" s="245" customFormat="1" ht="51.75" hidden="1" customHeight="1" x14ac:dyDescent="0.25">
      <c r="A41" s="243"/>
      <c r="B41" s="246" t="s">
        <v>1398</v>
      </c>
      <c r="C41" s="246"/>
      <c r="D41" s="246"/>
      <c r="E41" s="246"/>
    </row>
    <row r="42" spans="1:5" ht="17.5" hidden="1" customHeight="1" x14ac:dyDescent="0.25">
      <c r="B42" s="45" t="s">
        <v>1399</v>
      </c>
      <c r="C42" s="13"/>
      <c r="D42" s="13"/>
      <c r="E42" s="13"/>
    </row>
    <row r="43" spans="1:5" x14ac:dyDescent="0.25">
      <c r="B43" s="14" t="s">
        <v>1401</v>
      </c>
    </row>
    <row r="44" spans="1:5" ht="33.5" customHeight="1" x14ac:dyDescent="0.25">
      <c r="B44" s="135" t="s">
        <v>1396</v>
      </c>
      <c r="C44" s="135"/>
      <c r="D44" s="135"/>
      <c r="E44" s="135"/>
    </row>
    <row r="45" spans="1:5" ht="20.25" customHeight="1" x14ac:dyDescent="0.3">
      <c r="B45" s="201" t="s">
        <v>707</v>
      </c>
      <c r="C45" s="201"/>
      <c r="D45" s="201"/>
      <c r="E45" s="201"/>
    </row>
    <row r="46" spans="1:5" ht="45" customHeight="1" x14ac:dyDescent="0.25">
      <c r="B46" s="135" t="s">
        <v>1397</v>
      </c>
      <c r="C46" s="135"/>
      <c r="D46" s="135"/>
      <c r="E46" s="135"/>
    </row>
    <row r="47" spans="1:5" x14ac:dyDescent="0.25">
      <c r="B47" s="135"/>
      <c r="C47" s="135"/>
      <c r="D47" s="135"/>
      <c r="E47" s="135"/>
    </row>
    <row r="48" spans="1:5" ht="12" x14ac:dyDescent="0.3">
      <c r="B48" s="201" t="s">
        <v>708</v>
      </c>
      <c r="C48" s="201"/>
      <c r="D48" s="201"/>
      <c r="E48" s="201"/>
    </row>
    <row r="49" spans="2:5" ht="52.5" customHeight="1" x14ac:dyDescent="0.25">
      <c r="B49" s="135" t="s">
        <v>1398</v>
      </c>
      <c r="C49" s="135"/>
      <c r="D49" s="135"/>
      <c r="E49" s="135"/>
    </row>
  </sheetData>
  <pageMargins left="0.59055118110236227" right="0.59055118110236227" top="0.59055118110236227" bottom="0.59055118110236227" header="0" footer="0"/>
  <pageSetup paperSize="9" fitToHeight="0" orientation="portrait" r:id="rId1"/>
  <headerFoot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6473A-AB7A-4CEC-9E36-F7F54EC05A92}">
  <sheetPr codeName="Sheet56">
    <tabColor rgb="FF92D050"/>
  </sheetPr>
  <dimension ref="A1:E46"/>
  <sheetViews>
    <sheetView topLeftCell="A11" workbookViewId="0"/>
  </sheetViews>
  <sheetFormatPr defaultColWidth="9.1796875" defaultRowHeight="11.5" x14ac:dyDescent="0.25"/>
  <cols>
    <col min="1" max="1" width="0.81640625" style="31" customWidth="1"/>
    <col min="2" max="2" width="22.1796875" style="1" customWidth="1"/>
    <col min="3" max="3" width="31.1796875" style="1" customWidth="1"/>
    <col min="4" max="4" width="15.453125" style="1" customWidth="1"/>
    <col min="5" max="5" width="17" style="1" customWidth="1"/>
    <col min="6" max="16384" width="9.1796875" style="1"/>
  </cols>
  <sheetData>
    <row r="1" spans="1:5" s="245" customFormat="1" hidden="1" x14ac:dyDescent="0.25">
      <c r="A1" s="403">
        <f>'Acc''g policies 6'!A19+1</f>
        <v>10</v>
      </c>
      <c r="B1" s="261" t="s">
        <v>1757</v>
      </c>
    </row>
    <row r="2" spans="1:5" s="245" customFormat="1" ht="5.25" hidden="1" customHeight="1" x14ac:dyDescent="0.25">
      <c r="A2" s="243"/>
    </row>
    <row r="3" spans="1:5" s="245" customFormat="1" hidden="1" x14ac:dyDescent="0.25">
      <c r="A3" s="243"/>
      <c r="B3" s="255" t="s">
        <v>1401</v>
      </c>
    </row>
    <row r="4" spans="1:5" s="245" customFormat="1" ht="73.5" hidden="1" customHeight="1" x14ac:dyDescent="0.25">
      <c r="A4" s="243"/>
      <c r="B4" s="441" t="s">
        <v>1396</v>
      </c>
      <c r="C4" s="441"/>
      <c r="D4" s="441"/>
      <c r="E4" s="441"/>
    </row>
    <row r="5" spans="1:5" s="245" customFormat="1" ht="17.25" hidden="1" customHeight="1" x14ac:dyDescent="0.3">
      <c r="A5" s="243"/>
      <c r="B5" s="269" t="s">
        <v>707</v>
      </c>
      <c r="C5" s="269"/>
      <c r="D5" s="269"/>
      <c r="E5" s="269"/>
    </row>
    <row r="6" spans="1:5" s="245" customFormat="1" ht="38.25" hidden="1" customHeight="1" x14ac:dyDescent="0.25">
      <c r="A6" s="243"/>
      <c r="B6" s="441" t="s">
        <v>1397</v>
      </c>
      <c r="C6" s="441"/>
      <c r="D6" s="441"/>
      <c r="E6" s="441"/>
    </row>
    <row r="7" spans="1:5" s="245" customFormat="1" ht="7.5" hidden="1" customHeight="1" x14ac:dyDescent="0.25">
      <c r="A7" s="243"/>
      <c r="B7" s="246"/>
      <c r="C7" s="246"/>
      <c r="D7" s="246"/>
      <c r="E7" s="246"/>
    </row>
    <row r="8" spans="1:5" s="245" customFormat="1" ht="10.5" hidden="1" customHeight="1" x14ac:dyDescent="0.3">
      <c r="A8" s="243"/>
      <c r="B8" s="269" t="s">
        <v>708</v>
      </c>
      <c r="C8" s="269"/>
      <c r="D8" s="269"/>
      <c r="E8" s="269"/>
    </row>
    <row r="9" spans="1:5" s="245" customFormat="1" ht="51.75" hidden="1" customHeight="1" x14ac:dyDescent="0.25">
      <c r="A9" s="243"/>
      <c r="B9" s="441" t="s">
        <v>1398</v>
      </c>
      <c r="C9" s="441"/>
      <c r="D9" s="441"/>
      <c r="E9" s="441"/>
    </row>
    <row r="10" spans="1:5" s="245" customFormat="1" ht="5.25" hidden="1" customHeight="1" x14ac:dyDescent="0.25">
      <c r="A10" s="243"/>
      <c r="B10" s="392"/>
      <c r="C10" s="392"/>
      <c r="D10" s="392"/>
      <c r="E10" s="392"/>
    </row>
    <row r="11" spans="1:5" x14ac:dyDescent="0.25">
      <c r="A11" s="31">
        <f>'Acc''g policies 6'!A23+1</f>
        <v>10</v>
      </c>
      <c r="B11" s="13" t="str">
        <f>"Note 1."&amp; A11&amp; " Provisions "</f>
        <v xml:space="preserve">Note 1.10 Provisions </v>
      </c>
    </row>
    <row r="12" spans="1:5" ht="76.5" customHeight="1" x14ac:dyDescent="0.25">
      <c r="B12" s="432" t="s">
        <v>1580</v>
      </c>
      <c r="C12" s="432"/>
      <c r="D12" s="432"/>
      <c r="E12" s="432"/>
    </row>
    <row r="13" spans="1:5" ht="3" customHeight="1" x14ac:dyDescent="0.25">
      <c r="B13" s="111"/>
      <c r="C13" s="111"/>
      <c r="D13" s="111"/>
      <c r="E13" s="111"/>
    </row>
    <row r="14" spans="1:5" x14ac:dyDescent="0.25">
      <c r="B14" s="184"/>
      <c r="C14" s="184"/>
      <c r="D14" s="185" t="s">
        <v>709</v>
      </c>
      <c r="E14" s="185" t="s">
        <v>1308</v>
      </c>
    </row>
    <row r="15" spans="1:5" x14ac:dyDescent="0.25">
      <c r="B15" s="184" t="s">
        <v>710</v>
      </c>
      <c r="C15" s="184" t="s">
        <v>711</v>
      </c>
      <c r="D15" s="186" t="s">
        <v>1463</v>
      </c>
      <c r="E15" s="186" t="s">
        <v>1462</v>
      </c>
    </row>
    <row r="16" spans="1:5" x14ac:dyDescent="0.25">
      <c r="B16" s="184" t="s">
        <v>712</v>
      </c>
      <c r="C16" s="184" t="s">
        <v>713</v>
      </c>
      <c r="D16" s="186" t="s">
        <v>1575</v>
      </c>
      <c r="E16" s="186" t="s">
        <v>1463</v>
      </c>
    </row>
    <row r="17" spans="2:5" x14ac:dyDescent="0.25">
      <c r="B17" s="184" t="s">
        <v>714</v>
      </c>
      <c r="C17" s="184" t="s">
        <v>1306</v>
      </c>
      <c r="D17" s="186" t="s">
        <v>1576</v>
      </c>
      <c r="E17" s="186" t="s">
        <v>1464</v>
      </c>
    </row>
    <row r="18" spans="2:5" x14ac:dyDescent="0.25">
      <c r="B18" s="184" t="s">
        <v>1305</v>
      </c>
      <c r="C18" s="184" t="s">
        <v>1307</v>
      </c>
      <c r="D18" s="186" t="s">
        <v>1577</v>
      </c>
      <c r="E18" s="186" t="s">
        <v>1465</v>
      </c>
    </row>
    <row r="19" spans="2:5" ht="6.75" customHeight="1" x14ac:dyDescent="0.25">
      <c r="B19" s="111"/>
      <c r="C19" s="111"/>
      <c r="D19" s="111"/>
      <c r="E19" s="111"/>
    </row>
    <row r="20" spans="2:5" ht="39" customHeight="1" x14ac:dyDescent="0.25">
      <c r="B20" s="430" t="s">
        <v>1581</v>
      </c>
      <c r="C20" s="430"/>
      <c r="D20" s="430"/>
      <c r="E20" s="430"/>
    </row>
    <row r="21" spans="2:5" x14ac:dyDescent="0.25">
      <c r="B21" s="184"/>
      <c r="C21" s="184"/>
      <c r="D21" s="185" t="s">
        <v>715</v>
      </c>
      <c r="E21" s="185" t="s">
        <v>1308</v>
      </c>
    </row>
    <row r="22" spans="2:5" x14ac:dyDescent="0.25">
      <c r="B22" s="184" t="s">
        <v>716</v>
      </c>
      <c r="C22" s="187"/>
      <c r="D22" s="186" t="s">
        <v>1578</v>
      </c>
      <c r="E22" s="186" t="s">
        <v>1466</v>
      </c>
    </row>
    <row r="23" spans="2:5" x14ac:dyDescent="0.25">
      <c r="B23" s="184" t="s">
        <v>717</v>
      </c>
      <c r="C23" s="187"/>
      <c r="D23" s="186" t="s">
        <v>1579</v>
      </c>
      <c r="E23" s="186" t="s">
        <v>1467</v>
      </c>
    </row>
    <row r="24" spans="2:5" x14ac:dyDescent="0.25">
      <c r="B24" s="184" t="s">
        <v>719</v>
      </c>
      <c r="C24" s="187"/>
      <c r="D24" s="186" t="s">
        <v>718</v>
      </c>
      <c r="E24" s="186" t="s">
        <v>718</v>
      </c>
    </row>
    <row r="25" spans="2:5" ht="6" customHeight="1" x14ac:dyDescent="0.25">
      <c r="B25" s="111"/>
      <c r="C25" s="111"/>
      <c r="D25" s="111"/>
      <c r="E25" s="111"/>
    </row>
    <row r="26" spans="2:5" ht="21.75" customHeight="1" x14ac:dyDescent="0.25">
      <c r="B26" s="432" t="s">
        <v>1582</v>
      </c>
      <c r="C26" s="432"/>
      <c r="D26" s="432"/>
      <c r="E26" s="432"/>
    </row>
    <row r="27" spans="2:5" ht="7.5" customHeight="1" x14ac:dyDescent="0.25">
      <c r="B27" s="111"/>
      <c r="C27" s="111"/>
      <c r="D27" s="111"/>
    </row>
    <row r="28" spans="2:5" x14ac:dyDescent="0.25">
      <c r="B28" s="14" t="s">
        <v>720</v>
      </c>
      <c r="C28" s="111"/>
      <c r="D28" s="111"/>
    </row>
    <row r="29" spans="2:5" ht="63.75" customHeight="1" x14ac:dyDescent="0.25">
      <c r="B29" s="432" t="s">
        <v>1737</v>
      </c>
      <c r="C29" s="432"/>
      <c r="D29" s="432"/>
      <c r="E29" s="432"/>
    </row>
    <row r="30" spans="2:5" ht="15" customHeight="1" x14ac:dyDescent="0.25">
      <c r="B30" s="442" t="s">
        <v>721</v>
      </c>
      <c r="C30" s="442"/>
      <c r="D30" s="442"/>
      <c r="E30" s="442"/>
    </row>
    <row r="31" spans="2:5" ht="51" customHeight="1" x14ac:dyDescent="0.25">
      <c r="B31" s="432" t="s">
        <v>722</v>
      </c>
      <c r="C31" s="432"/>
      <c r="D31" s="432"/>
      <c r="E31" s="432"/>
    </row>
    <row r="32" spans="2:5" ht="4.5" customHeight="1" x14ac:dyDescent="0.25">
      <c r="B32" s="111"/>
      <c r="C32" s="111"/>
      <c r="D32" s="111"/>
    </row>
    <row r="33" spans="1:5" s="245" customFormat="1" hidden="1" x14ac:dyDescent="0.25">
      <c r="A33" s="243">
        <f>A11+1</f>
        <v>11</v>
      </c>
      <c r="B33" s="443" t="str">
        <f>"Note 1." &amp;A33&amp;" Contingencies"</f>
        <v>Note 1.11 Contingencies</v>
      </c>
      <c r="C33" s="443"/>
      <c r="D33" s="443"/>
      <c r="E33" s="443"/>
    </row>
    <row r="34" spans="1:5" s="245" customFormat="1" ht="42.75" hidden="1" customHeight="1" x14ac:dyDescent="0.25">
      <c r="A34" s="243"/>
      <c r="B34" s="431" t="str">
        <f>"Contingent assets (that is, assets arising from past events whose existence will only be confirmed by one or more future events not wholly within the entity’s control) are not recognised as assets, but are disclosed in Note "&amp;'C&amp;O'!A6&amp;" where an inflow of economic benefits is probable."</f>
        <v>Contingent assets (that is, assets arising from past events whose existence will only be confirmed by one or more future events not wholly within the entity’s control) are not recognised as assets, but are disclosed in Note 27 where an inflow of economic benefits is probable.</v>
      </c>
      <c r="C34" s="431"/>
      <c r="D34" s="431"/>
      <c r="E34" s="431"/>
    </row>
    <row r="35" spans="1:5" s="245" customFormat="1" ht="28.5" hidden="1" customHeight="1" x14ac:dyDescent="0.25">
      <c r="A35" s="243"/>
      <c r="B35" s="431" t="str">
        <f>"Contingent liabilities are not recognised, but are disclosed in Note "&amp;'C&amp;O'!A6&amp;", unless the probability of a transfer of economic benefits is remote."</f>
        <v>Contingent liabilities are not recognised, but are disclosed in Note 27, unless the probability of a transfer of economic benefits is remote.</v>
      </c>
      <c r="C35" s="431"/>
      <c r="D35" s="431"/>
      <c r="E35" s="431"/>
    </row>
    <row r="36" spans="1:5" s="245" customFormat="1" ht="89.25" hidden="1" customHeight="1" x14ac:dyDescent="0.25">
      <c r="A36" s="243"/>
      <c r="B36" s="431" t="s">
        <v>1468</v>
      </c>
      <c r="C36" s="431"/>
      <c r="D36" s="431"/>
      <c r="E36" s="431"/>
    </row>
    <row r="37" spans="1:5" x14ac:dyDescent="0.25">
      <c r="A37" s="31">
        <f>A11+1</f>
        <v>11</v>
      </c>
      <c r="B37" s="13" t="s">
        <v>1769</v>
      </c>
    </row>
    <row r="38" spans="1:5" ht="39.75" customHeight="1" x14ac:dyDescent="0.25">
      <c r="B38" s="432" t="s">
        <v>1738</v>
      </c>
      <c r="C38" s="432"/>
      <c r="D38" s="432"/>
      <c r="E38" s="432"/>
    </row>
    <row r="39" spans="1:5" ht="26.25" customHeight="1" x14ac:dyDescent="0.25">
      <c r="B39" s="432" t="s">
        <v>1739</v>
      </c>
      <c r="C39" s="432"/>
      <c r="D39" s="432"/>
      <c r="E39" s="432"/>
    </row>
    <row r="41" spans="1:5" ht="84.75" customHeight="1" x14ac:dyDescent="0.25">
      <c r="B41" s="432" t="s">
        <v>1468</v>
      </c>
      <c r="C41" s="432"/>
      <c r="D41" s="432"/>
      <c r="E41" s="432"/>
    </row>
    <row r="43" spans="1:5" x14ac:dyDescent="0.25">
      <c r="A43" s="31">
        <v>17</v>
      </c>
      <c r="B43" s="87" t="s">
        <v>1770</v>
      </c>
    </row>
    <row r="44" spans="1:5" ht="133.5" customHeight="1" x14ac:dyDescent="0.25">
      <c r="B44" s="437" t="s">
        <v>723</v>
      </c>
      <c r="C44" s="437"/>
      <c r="D44" s="437"/>
      <c r="E44" s="437"/>
    </row>
    <row r="45" spans="1:5" s="245" customFormat="1" ht="36" hidden="1" customHeight="1" x14ac:dyDescent="0.25">
      <c r="A45" s="243"/>
      <c r="B45" s="441" t="s">
        <v>724</v>
      </c>
      <c r="C45" s="441"/>
      <c r="D45" s="441"/>
      <c r="E45" s="441"/>
    </row>
    <row r="46" spans="1:5" s="245" customFormat="1" ht="54.75" hidden="1" customHeight="1" x14ac:dyDescent="0.25">
      <c r="A46" s="243"/>
      <c r="B46" s="441" t="s">
        <v>725</v>
      </c>
      <c r="C46" s="441"/>
      <c r="D46" s="441"/>
      <c r="E46" s="441"/>
    </row>
  </sheetData>
  <mergeCells count="19">
    <mergeCell ref="B41:E41"/>
    <mergeCell ref="B44:E44"/>
    <mergeCell ref="B45:E45"/>
    <mergeCell ref="B46:E46"/>
    <mergeCell ref="B38:E38"/>
    <mergeCell ref="B39:E39"/>
    <mergeCell ref="B4:E4"/>
    <mergeCell ref="B6:E6"/>
    <mergeCell ref="B9:E9"/>
    <mergeCell ref="B36:E36"/>
    <mergeCell ref="B35:E35"/>
    <mergeCell ref="B34:E34"/>
    <mergeCell ref="B26:E26"/>
    <mergeCell ref="B12:E12"/>
    <mergeCell ref="B20:E20"/>
    <mergeCell ref="B29:E29"/>
    <mergeCell ref="B30:E30"/>
    <mergeCell ref="B31:E31"/>
    <mergeCell ref="B33:E33"/>
  </mergeCells>
  <pageMargins left="0.59055118110236227" right="0.59055118110236227" top="0.59055118110236227" bottom="0.59055118110236227" header="0" footer="0"/>
  <pageSetup paperSize="9" fitToHeight="0" orientation="portrait" r:id="rId1"/>
  <headerFoot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4171-5FDB-4193-8F61-E72BB59ECD67}">
  <sheetPr>
    <tabColor rgb="FF92D050"/>
  </sheetPr>
  <dimension ref="A1:C47"/>
  <sheetViews>
    <sheetView topLeftCell="A5" workbookViewId="0"/>
  </sheetViews>
  <sheetFormatPr defaultRowHeight="14.5" x14ac:dyDescent="0.35"/>
  <cols>
    <col min="1" max="1" width="1" customWidth="1"/>
    <col min="2" max="2" width="85.7265625" customWidth="1"/>
  </cols>
  <sheetData>
    <row r="1" spans="1:2" s="237" customFormat="1" hidden="1" x14ac:dyDescent="0.35">
      <c r="A1" s="243">
        <v>16</v>
      </c>
      <c r="B1" s="256" t="s">
        <v>1714</v>
      </c>
    </row>
    <row r="2" spans="1:2" s="237" customFormat="1" ht="35.5" hidden="1" x14ac:dyDescent="0.35">
      <c r="A2" s="243"/>
      <c r="B2" s="245" t="s">
        <v>1712</v>
      </c>
    </row>
    <row r="3" spans="1:2" s="237" customFormat="1" ht="29.25" hidden="1" customHeight="1" x14ac:dyDescent="0.35">
      <c r="A3" s="243"/>
      <c r="B3" s="245" t="s">
        <v>1713</v>
      </c>
    </row>
    <row r="4" spans="1:2" s="237" customFormat="1" ht="81.5" hidden="1" x14ac:dyDescent="0.35">
      <c r="A4" s="243"/>
      <c r="B4" s="245" t="s">
        <v>1468</v>
      </c>
    </row>
    <row r="5" spans="1:2" s="404" customFormat="1" ht="6.75" customHeight="1" x14ac:dyDescent="0.35">
      <c r="A5" s="247"/>
      <c r="B5" s="399"/>
    </row>
    <row r="6" spans="1:2" s="404" customFormat="1" x14ac:dyDescent="0.35">
      <c r="A6" s="247">
        <v>17</v>
      </c>
      <c r="B6" s="405" t="s">
        <v>1771</v>
      </c>
    </row>
    <row r="7" spans="1:2" s="237" customFormat="1" ht="136.5" hidden="1" customHeight="1" x14ac:dyDescent="0.35">
      <c r="A7" s="243"/>
      <c r="B7" s="392" t="s">
        <v>723</v>
      </c>
    </row>
    <row r="8" spans="1:2" s="404" customFormat="1" x14ac:dyDescent="0.35">
      <c r="A8" s="247"/>
      <c r="B8" s="406"/>
    </row>
    <row r="9" spans="1:2" ht="24" x14ac:dyDescent="0.35">
      <c r="A9" s="31"/>
      <c r="B9" s="136" t="s">
        <v>724</v>
      </c>
    </row>
    <row r="10" spans="1:2" ht="47" x14ac:dyDescent="0.35">
      <c r="A10" s="31"/>
      <c r="B10" s="136" t="s">
        <v>725</v>
      </c>
    </row>
    <row r="11" spans="1:2" ht="8.25" customHeight="1" x14ac:dyDescent="0.35">
      <c r="A11" s="31"/>
      <c r="B11" s="1"/>
    </row>
    <row r="12" spans="1:2" x14ac:dyDescent="0.35">
      <c r="A12" s="31">
        <v>13</v>
      </c>
      <c r="B12" s="13" t="s">
        <v>1772</v>
      </c>
    </row>
    <row r="13" spans="1:2" ht="47" x14ac:dyDescent="0.35">
      <c r="A13" s="31"/>
      <c r="B13" s="111" t="s">
        <v>726</v>
      </c>
    </row>
    <row r="14" spans="1:2" ht="4.5" customHeight="1" x14ac:dyDescent="0.35">
      <c r="A14" s="31"/>
      <c r="B14" s="1"/>
    </row>
    <row r="15" spans="1:2" hidden="1" x14ac:dyDescent="0.35">
      <c r="A15" s="243">
        <v>19</v>
      </c>
      <c r="B15" s="257" t="s">
        <v>1642</v>
      </c>
    </row>
    <row r="16" spans="1:2" ht="93" hidden="1" x14ac:dyDescent="0.35">
      <c r="A16" s="243"/>
      <c r="B16" s="260" t="s">
        <v>727</v>
      </c>
    </row>
    <row r="17" spans="1:3" hidden="1" x14ac:dyDescent="0.35">
      <c r="A17" s="243"/>
      <c r="B17" s="245"/>
    </row>
    <row r="18" spans="1:3" s="237" customFormat="1" hidden="1" x14ac:dyDescent="0.35">
      <c r="A18" s="243">
        <v>19</v>
      </c>
      <c r="B18" s="256" t="s">
        <v>1656</v>
      </c>
    </row>
    <row r="19" spans="1:3" s="237" customFormat="1" ht="24" hidden="1" x14ac:dyDescent="0.35">
      <c r="A19" s="243"/>
      <c r="B19" s="245" t="s">
        <v>728</v>
      </c>
    </row>
    <row r="20" spans="1:3" s="237" customFormat="1" ht="8.25" hidden="1" customHeight="1" x14ac:dyDescent="0.35">
      <c r="A20" s="243"/>
      <c r="B20" s="245"/>
    </row>
    <row r="21" spans="1:3" s="237" customFormat="1" hidden="1" x14ac:dyDescent="0.35">
      <c r="A21" s="243">
        <v>21</v>
      </c>
      <c r="B21" s="257" t="s">
        <v>1643</v>
      </c>
    </row>
    <row r="22" spans="1:3" s="237" customFormat="1" ht="219.5" hidden="1" x14ac:dyDescent="0.35">
      <c r="A22" s="243"/>
      <c r="B22" s="259" t="s">
        <v>729</v>
      </c>
    </row>
    <row r="23" spans="1:3" s="237" customFormat="1" hidden="1" x14ac:dyDescent="0.35">
      <c r="A23" s="243"/>
      <c r="B23" s="245"/>
    </row>
    <row r="24" spans="1:3" s="237" customFormat="1" hidden="1" x14ac:dyDescent="0.35">
      <c r="A24" s="243">
        <v>20</v>
      </c>
      <c r="B24" s="256" t="s">
        <v>1657</v>
      </c>
    </row>
    <row r="25" spans="1:3" s="237" customFormat="1" ht="9" hidden="1" customHeight="1" x14ac:dyDescent="0.35">
      <c r="A25" s="243"/>
      <c r="B25" s="245"/>
    </row>
    <row r="26" spans="1:3" s="237" customFormat="1" ht="35.5" hidden="1" x14ac:dyDescent="0.35">
      <c r="A26" s="243"/>
      <c r="B26" s="252" t="s">
        <v>1644</v>
      </c>
    </row>
    <row r="27" spans="1:3" s="237" customFormat="1" ht="5.25" hidden="1" customHeight="1" x14ac:dyDescent="0.35">
      <c r="A27" s="243"/>
      <c r="B27" s="245"/>
    </row>
    <row r="28" spans="1:3" s="237" customFormat="1" hidden="1" x14ac:dyDescent="0.35">
      <c r="A28" s="243">
        <f>A12+1</f>
        <v>14</v>
      </c>
      <c r="B28" s="256" t="s">
        <v>1758</v>
      </c>
    </row>
    <row r="29" spans="1:3" s="237" customFormat="1" ht="103.5" hidden="1" customHeight="1" x14ac:dyDescent="0.35">
      <c r="A29" s="243"/>
      <c r="B29" s="252" t="s">
        <v>731</v>
      </c>
    </row>
    <row r="30" spans="1:3" x14ac:dyDescent="0.35">
      <c r="A30" s="31">
        <f>A12+1</f>
        <v>14</v>
      </c>
      <c r="B30" s="87" t="str">
        <f>"Note 1."&amp;A30&amp; " Early adoption of standards, amendments and interpretations"</f>
        <v>Note 1.14 Early adoption of standards, amendments and interpretations</v>
      </c>
      <c r="C30" s="87"/>
    </row>
    <row r="31" spans="1:3" ht="19.5" customHeight="1" x14ac:dyDescent="0.35">
      <c r="A31" s="31"/>
      <c r="B31" s="135" t="str">
        <f>"No new accounting standards or revisions to existing standards have been early adopted in "&amp;CurrentFY&amp;"."</f>
        <v>No new accounting standards or revisions to existing standards have been early adopted in 2024/25.</v>
      </c>
      <c r="C31" s="135"/>
    </row>
    <row r="32" spans="1:3" ht="4.5" customHeight="1" x14ac:dyDescent="0.35">
      <c r="A32" s="31"/>
      <c r="B32" s="1"/>
      <c r="C32" s="1"/>
    </row>
    <row r="33" spans="1:3" x14ac:dyDescent="0.35">
      <c r="A33" s="31">
        <f>A30+1</f>
        <v>15</v>
      </c>
      <c r="B33" s="87" t="str">
        <f>"Note 1."&amp;A33&amp; " Standards, amendments and interpretations in issue but not yet effective or adopted"</f>
        <v>Note 1.15 Standards, amendments and interpretations in issue but not yet effective or adopted</v>
      </c>
      <c r="C33" s="87"/>
    </row>
    <row r="34" spans="1:3" ht="5.25" customHeight="1" x14ac:dyDescent="0.35">
      <c r="A34" s="31"/>
      <c r="B34" s="1"/>
      <c r="C34" s="1"/>
    </row>
    <row r="35" spans="1:3" ht="60" customHeight="1" x14ac:dyDescent="0.35">
      <c r="A35" s="31"/>
      <c r="B35" s="1" t="s">
        <v>1773</v>
      </c>
      <c r="C35" s="1"/>
    </row>
    <row r="36" spans="1:3" ht="28.5" customHeight="1" x14ac:dyDescent="0.35">
      <c r="A36" s="31"/>
      <c r="B36" s="1" t="s">
        <v>1751</v>
      </c>
      <c r="C36" s="1"/>
    </row>
    <row r="37" spans="1:3" ht="52.5" customHeight="1" x14ac:dyDescent="0.35">
      <c r="A37" s="31"/>
      <c r="B37" s="1" t="s">
        <v>1722</v>
      </c>
      <c r="C37" s="1"/>
    </row>
    <row r="38" spans="1:3" ht="15" hidden="1" customHeight="1" x14ac:dyDescent="0.35">
      <c r="A38" s="243"/>
      <c r="B38" s="245"/>
      <c r="C38" s="245"/>
    </row>
    <row r="39" spans="1:3" ht="15" hidden="1" customHeight="1" x14ac:dyDescent="0.35">
      <c r="A39" s="272"/>
      <c r="B39" s="275" t="s">
        <v>735</v>
      </c>
      <c r="C39" s="275"/>
    </row>
    <row r="40" spans="1:3" ht="11.25" customHeight="1" x14ac:dyDescent="0.35">
      <c r="A40" s="31">
        <f>A33+1</f>
        <v>16</v>
      </c>
      <c r="B40" s="1"/>
      <c r="C40" s="1"/>
    </row>
    <row r="41" spans="1:3" x14ac:dyDescent="0.35">
      <c r="A41" s="31"/>
      <c r="B41" s="177" t="s">
        <v>1752</v>
      </c>
      <c r="C41" s="1"/>
    </row>
    <row r="42" spans="1:3" ht="56.25" customHeight="1" x14ac:dyDescent="0.35">
      <c r="A42" s="31"/>
      <c r="B42" s="110" t="s">
        <v>1760</v>
      </c>
      <c r="C42" s="1"/>
    </row>
    <row r="43" spans="1:3" ht="162.75" customHeight="1" x14ac:dyDescent="0.35">
      <c r="B43" s="110" t="s">
        <v>1766</v>
      </c>
      <c r="C43" s="110"/>
    </row>
    <row r="44" spans="1:3" ht="24.75" customHeight="1" x14ac:dyDescent="0.35">
      <c r="B44" s="1" t="s">
        <v>1724</v>
      </c>
      <c r="C44" s="1"/>
    </row>
    <row r="45" spans="1:3" ht="7.5" customHeight="1" x14ac:dyDescent="0.35">
      <c r="B45" s="1"/>
      <c r="C45" s="1"/>
    </row>
    <row r="46" spans="1:3" x14ac:dyDescent="0.35">
      <c r="B46" s="177" t="s">
        <v>1763</v>
      </c>
      <c r="C46" s="1"/>
    </row>
    <row r="47" spans="1:3" ht="48.75" customHeight="1" x14ac:dyDescent="0.35">
      <c r="B47" s="1" t="s">
        <v>1761</v>
      </c>
      <c r="C47" s="1"/>
    </row>
  </sheetData>
  <pageMargins left="0.59055118110236227" right="0.59055118110236227" top="0.59055118110236227" bottom="0.59055118110236227" header="0" footer="0"/>
  <pageSetup paperSize="9" orientation="portrait" r:id="rId1"/>
  <headerFoot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F723-A5A1-40EB-B62F-19A00B2FC9C2}">
  <sheetPr codeName="Sheet28">
    <tabColor rgb="FF92D050"/>
  </sheetPr>
  <dimension ref="A1:O38"/>
  <sheetViews>
    <sheetView topLeftCell="A15" workbookViewId="0"/>
  </sheetViews>
  <sheetFormatPr defaultColWidth="9.1796875" defaultRowHeight="11.5" x14ac:dyDescent="0.25"/>
  <cols>
    <col min="1" max="1" width="1.54296875" style="31" customWidth="1"/>
    <col min="2" max="2" width="73" style="1" customWidth="1"/>
    <col min="3" max="3" width="12.7265625" style="1" customWidth="1"/>
    <col min="4" max="4" width="12.81640625" style="1" customWidth="1"/>
    <col min="5" max="16384" width="9.1796875" style="1"/>
  </cols>
  <sheetData>
    <row r="1" spans="1:6" s="245" customFormat="1" hidden="1" x14ac:dyDescent="0.25">
      <c r="A1" s="243">
        <f>'Acc Pol 8'!A28+1</f>
        <v>15</v>
      </c>
      <c r="B1" s="445" t="str">
        <f>"Note 1."&amp;A1&amp; " Early adoption of standards, amendments and interpretations"</f>
        <v>Note 1.15 Early adoption of standards, amendments and interpretations</v>
      </c>
      <c r="C1" s="445"/>
      <c r="E1" s="343"/>
    </row>
    <row r="2" spans="1:6" s="245" customFormat="1" ht="15.65" hidden="1" customHeight="1" x14ac:dyDescent="0.25">
      <c r="A2" s="243"/>
      <c r="B2" s="441" t="str">
        <f>"No new accounting standards or revisions to existing standards have been early adopted in "&amp;CurrentFY&amp;"."</f>
        <v>No new accounting standards or revisions to existing standards have been early adopted in 2024/25.</v>
      </c>
      <c r="C2" s="441"/>
      <c r="D2" s="392"/>
      <c r="E2" s="392"/>
      <c r="F2" s="392"/>
    </row>
    <row r="3" spans="1:6" ht="10.5" hidden="1" customHeight="1" x14ac:dyDescent="0.25">
      <c r="E3" s="132"/>
    </row>
    <row r="4" spans="1:6" s="245" customFormat="1" hidden="1" x14ac:dyDescent="0.25">
      <c r="A4" s="243">
        <f>'Acc Pol 8'!A33</f>
        <v>15</v>
      </c>
      <c r="B4" s="445" t="str">
        <f>"Note 1."&amp;A4&amp; " Standards, amendments and interpretations in issue but not yet effective or adopted Continued"</f>
        <v>Note 1.15 Standards, amendments and interpretations in issue but not yet effective or adopted Continued</v>
      </c>
      <c r="C4" s="445"/>
      <c r="E4" s="343"/>
    </row>
    <row r="5" spans="1:6" s="245" customFormat="1" ht="4.5" hidden="1" customHeight="1" x14ac:dyDescent="0.25">
      <c r="A5" s="243"/>
    </row>
    <row r="6" spans="1:6" s="245" customFormat="1" ht="7.5" hidden="1" customHeight="1" x14ac:dyDescent="0.25">
      <c r="A6" s="243"/>
    </row>
    <row r="7" spans="1:6" s="245" customFormat="1" ht="39.25" hidden="1" customHeight="1" x14ac:dyDescent="0.25">
      <c r="A7" s="243"/>
      <c r="B7" s="446" t="s">
        <v>735</v>
      </c>
      <c r="C7" s="446"/>
    </row>
    <row r="8" spans="1:6" s="245" customFormat="1" ht="5.25" hidden="1" customHeight="1" x14ac:dyDescent="0.25">
      <c r="A8" s="243">
        <f>A4+1</f>
        <v>16</v>
      </c>
      <c r="D8" s="251"/>
    </row>
    <row r="9" spans="1:6" s="245" customFormat="1" ht="10.5" hidden="1" customHeight="1" x14ac:dyDescent="0.3">
      <c r="A9" s="243"/>
      <c r="B9" s="407" t="s">
        <v>1752</v>
      </c>
      <c r="D9" s="251"/>
    </row>
    <row r="10" spans="1:6" s="245" customFormat="1" ht="159" hidden="1" customHeight="1" x14ac:dyDescent="0.25">
      <c r="A10" s="243"/>
      <c r="B10" s="449" t="s">
        <v>1766</v>
      </c>
      <c r="C10" s="449"/>
      <c r="D10" s="251"/>
    </row>
    <row r="11" spans="1:6" s="245" customFormat="1" ht="28.5" hidden="1" customHeight="1" x14ac:dyDescent="0.25">
      <c r="A11" s="243"/>
      <c r="B11" s="431" t="s">
        <v>1724</v>
      </c>
      <c r="C11" s="431"/>
      <c r="D11" s="251"/>
    </row>
    <row r="12" spans="1:6" s="245" customFormat="1" ht="7.5" hidden="1" customHeight="1" x14ac:dyDescent="0.25">
      <c r="A12" s="243"/>
      <c r="D12" s="251"/>
    </row>
    <row r="13" spans="1:6" s="245" customFormat="1" ht="12" hidden="1" x14ac:dyDescent="0.3">
      <c r="A13" s="243"/>
      <c r="B13" s="407" t="s">
        <v>1763</v>
      </c>
      <c r="D13" s="251"/>
    </row>
    <row r="14" spans="1:6" s="245" customFormat="1" ht="51" hidden="1" customHeight="1" x14ac:dyDescent="0.25">
      <c r="A14" s="243"/>
      <c r="B14" s="431" t="s">
        <v>1761</v>
      </c>
      <c r="C14" s="431"/>
      <c r="D14" s="251"/>
    </row>
    <row r="15" spans="1:6" ht="7.5" customHeight="1" x14ac:dyDescent="0.25">
      <c r="D15" s="45"/>
    </row>
    <row r="16" spans="1:6" x14ac:dyDescent="0.25">
      <c r="B16" s="134" t="str">
        <f>"Note 1." &amp;A8&amp; " Critical judgements in applying accounting policies"</f>
        <v>Note 1.16 Critical judgements in applying accounting policies</v>
      </c>
      <c r="C16" s="45"/>
      <c r="D16" s="45"/>
    </row>
    <row r="17" spans="1:15" ht="39.75" customHeight="1" x14ac:dyDescent="0.25">
      <c r="B17" s="437" t="s">
        <v>736</v>
      </c>
      <c r="C17" s="437"/>
      <c r="D17" s="45"/>
    </row>
    <row r="18" spans="1:15" ht="18.75" customHeight="1" x14ac:dyDescent="0.3">
      <c r="B18" s="274" t="s">
        <v>1645</v>
      </c>
      <c r="C18" s="136"/>
      <c r="D18" s="45"/>
    </row>
    <row r="19" spans="1:15" ht="33.75" customHeight="1" x14ac:dyDescent="0.25">
      <c r="B19" s="432" t="s">
        <v>1779</v>
      </c>
      <c r="C19" s="432"/>
      <c r="D19" s="422"/>
      <c r="E19" s="399"/>
      <c r="F19" s="399"/>
      <c r="G19" s="399"/>
      <c r="H19" s="452"/>
      <c r="I19" s="452"/>
      <c r="J19" s="452"/>
      <c r="K19" s="452"/>
      <c r="L19" s="452"/>
      <c r="M19" s="452"/>
      <c r="N19" s="452"/>
      <c r="O19" s="452"/>
    </row>
    <row r="20" spans="1:15" s="276" customFormat="1" ht="55.5" hidden="1" customHeight="1" x14ac:dyDescent="0.25">
      <c r="A20" s="272"/>
      <c r="B20" s="448" t="s">
        <v>1625</v>
      </c>
      <c r="C20" s="448"/>
      <c r="D20" s="275"/>
    </row>
    <row r="21" spans="1:15" s="245" customFormat="1" ht="19.5" hidden="1" customHeight="1" x14ac:dyDescent="0.3">
      <c r="A21" s="243"/>
      <c r="B21" s="394" t="s">
        <v>1702</v>
      </c>
      <c r="C21" s="260"/>
      <c r="D21" s="251"/>
    </row>
    <row r="22" spans="1:15" s="245" customFormat="1" ht="12" hidden="1" customHeight="1" x14ac:dyDescent="0.25">
      <c r="A22" s="243">
        <f>A8+1</f>
        <v>17</v>
      </c>
      <c r="B22" s="441" t="s">
        <v>1735</v>
      </c>
      <c r="C22" s="441"/>
      <c r="D22" s="251"/>
    </row>
    <row r="23" spans="1:15" x14ac:dyDescent="0.25">
      <c r="B23" s="135"/>
      <c r="C23" s="45"/>
      <c r="D23" s="45"/>
    </row>
    <row r="24" spans="1:15" x14ac:dyDescent="0.25">
      <c r="B24" s="134" t="str">
        <f>"Note 1." &amp; A22 &amp; " Sources of estimation uncertainty"</f>
        <v>Note 1.17 Sources of estimation uncertainty</v>
      </c>
      <c r="C24" s="45"/>
      <c r="D24" s="45"/>
    </row>
    <row r="25" spans="1:15" ht="36" customHeight="1" x14ac:dyDescent="0.25">
      <c r="B25" s="437" t="s">
        <v>737</v>
      </c>
      <c r="C25" s="437"/>
      <c r="D25" s="45"/>
    </row>
    <row r="26" spans="1:15" ht="20.25" customHeight="1" x14ac:dyDescent="0.3">
      <c r="B26" s="451" t="s">
        <v>1646</v>
      </c>
      <c r="C26" s="451"/>
      <c r="D26" s="45"/>
    </row>
    <row r="27" spans="1:15" ht="90.75" customHeight="1" x14ac:dyDescent="0.25">
      <c r="B27" s="437" t="s">
        <v>1764</v>
      </c>
      <c r="C27" s="437"/>
      <c r="D27" s="45"/>
    </row>
    <row r="28" spans="1:15" ht="5.25" customHeight="1" x14ac:dyDescent="0.25">
      <c r="B28" s="45"/>
      <c r="C28" s="45"/>
    </row>
    <row r="29" spans="1:15" ht="63.75" hidden="1" customHeight="1" x14ac:dyDescent="0.25">
      <c r="B29" s="447" t="s">
        <v>1647</v>
      </c>
      <c r="C29" s="447"/>
    </row>
    <row r="30" spans="1:15" ht="38.25" hidden="1" customHeight="1" x14ac:dyDescent="0.25">
      <c r="B30" s="447" t="s">
        <v>1703</v>
      </c>
      <c r="C30" s="447"/>
    </row>
    <row r="31" spans="1:15" hidden="1" x14ac:dyDescent="0.25"/>
    <row r="32" spans="1:15" ht="13" hidden="1" x14ac:dyDescent="0.25">
      <c r="B32" s="277" t="s">
        <v>1648</v>
      </c>
    </row>
    <row r="33" spans="1:9" ht="5.25" hidden="1" customHeight="1" x14ac:dyDescent="0.25">
      <c r="B33" s="273"/>
    </row>
    <row r="34" spans="1:9" ht="14.25" hidden="1" customHeight="1" x14ac:dyDescent="0.25">
      <c r="B34" s="447" t="s">
        <v>1649</v>
      </c>
      <c r="C34" s="447"/>
    </row>
    <row r="35" spans="1:9" ht="4.5" hidden="1" customHeight="1" x14ac:dyDescent="0.25">
      <c r="B35" s="273"/>
    </row>
    <row r="36" spans="1:9" ht="25.5" hidden="1" customHeight="1" x14ac:dyDescent="0.25">
      <c r="B36" s="450" t="s">
        <v>1704</v>
      </c>
      <c r="C36" s="450"/>
    </row>
    <row r="37" spans="1:9" s="245" customFormat="1" ht="63.75" hidden="1" customHeight="1" x14ac:dyDescent="0.25">
      <c r="A37" s="243"/>
      <c r="B37" s="444" t="s">
        <v>1647</v>
      </c>
      <c r="C37" s="444"/>
      <c r="D37" s="398"/>
      <c r="E37" s="398"/>
      <c r="F37" s="398"/>
      <c r="G37" s="398"/>
      <c r="H37" s="398"/>
      <c r="I37" s="398"/>
    </row>
    <row r="38" spans="1:9" s="245" customFormat="1" ht="30" hidden="1" customHeight="1" x14ac:dyDescent="0.25">
      <c r="A38" s="243"/>
      <c r="B38" s="444" t="s">
        <v>1740</v>
      </c>
      <c r="C38" s="444"/>
      <c r="D38" s="398"/>
      <c r="E38" s="398"/>
      <c r="F38" s="398"/>
      <c r="G38" s="398"/>
      <c r="H38" s="398"/>
      <c r="I38" s="398"/>
    </row>
  </sheetData>
  <mergeCells count="21">
    <mergeCell ref="B36:C36"/>
    <mergeCell ref="B34:C34"/>
    <mergeCell ref="B26:C26"/>
    <mergeCell ref="B27:C27"/>
    <mergeCell ref="H19:O19"/>
    <mergeCell ref="B37:C37"/>
    <mergeCell ref="B38:C38"/>
    <mergeCell ref="B1:C1"/>
    <mergeCell ref="B2:C2"/>
    <mergeCell ref="B4:C4"/>
    <mergeCell ref="B7:C7"/>
    <mergeCell ref="B29:C29"/>
    <mergeCell ref="B25:C25"/>
    <mergeCell ref="B19:C19"/>
    <mergeCell ref="B17:C17"/>
    <mergeCell ref="B20:C20"/>
    <mergeCell ref="B22:C22"/>
    <mergeCell ref="B10:C10"/>
    <mergeCell ref="B11:C11"/>
    <mergeCell ref="B14:C14"/>
    <mergeCell ref="B30:C30"/>
  </mergeCells>
  <pageMargins left="0.59055118110236227" right="0.59055118110236227" top="0.59055118110236227" bottom="0.59055118110236227" header="0" footer="0"/>
  <pageSetup paperSize="9" fitToHeight="0" orientation="portrait" r:id="rId1"/>
  <headerFoot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rgb="FF92D050"/>
    <pageSetUpPr fitToPage="1"/>
  </sheetPr>
  <dimension ref="A1:R87"/>
  <sheetViews>
    <sheetView topLeftCell="A5" workbookViewId="0"/>
  </sheetViews>
  <sheetFormatPr defaultColWidth="9.1796875" defaultRowHeight="14.15" customHeight="1" x14ac:dyDescent="0.35"/>
  <cols>
    <col min="1" max="1" width="1" style="32" customWidth="1"/>
    <col min="2" max="2" width="34.26953125" style="1" customWidth="1"/>
    <col min="3" max="3" width="9.7265625" customWidth="1"/>
    <col min="4" max="4" width="9.81640625" customWidth="1"/>
    <col min="5" max="5" width="11.453125" customWidth="1"/>
    <col min="6" max="6" width="0.7265625" customWidth="1"/>
  </cols>
  <sheetData>
    <row r="1" spans="1:9" s="237" customFormat="1" ht="14.15" hidden="1" customHeight="1" x14ac:dyDescent="0.35">
      <c r="A1" s="278"/>
      <c r="B1" s="330" t="s">
        <v>1723</v>
      </c>
    </row>
    <row r="2" spans="1:9" s="237" customFormat="1" ht="63.75" hidden="1" customHeight="1" x14ac:dyDescent="0.35">
      <c r="A2" s="278"/>
      <c r="B2" s="444" t="s">
        <v>1647</v>
      </c>
      <c r="C2" s="444"/>
      <c r="D2" s="444"/>
      <c r="E2" s="444"/>
      <c r="F2" s="444"/>
      <c r="G2" s="444"/>
      <c r="H2" s="444"/>
      <c r="I2" s="444"/>
    </row>
    <row r="3" spans="1:9" s="237" customFormat="1" ht="31.5" hidden="1" customHeight="1" x14ac:dyDescent="0.35">
      <c r="A3" s="278"/>
      <c r="B3" s="444" t="s">
        <v>1740</v>
      </c>
      <c r="C3" s="444"/>
      <c r="D3" s="444"/>
      <c r="E3" s="444"/>
      <c r="F3" s="444"/>
      <c r="G3" s="444"/>
      <c r="H3" s="444"/>
      <c r="I3" s="444"/>
    </row>
    <row r="4" spans="1:9" s="237" customFormat="1" ht="14.15" hidden="1" customHeight="1" x14ac:dyDescent="0.35">
      <c r="A4" s="278"/>
      <c r="B4" s="245"/>
      <c r="C4" s="245"/>
    </row>
    <row r="5" spans="1:9" ht="11.25" customHeight="1" x14ac:dyDescent="0.35">
      <c r="B5" s="16" t="s">
        <v>1648</v>
      </c>
      <c r="C5" s="1"/>
    </row>
    <row r="6" spans="1:9" ht="10.5" hidden="1" customHeight="1" x14ac:dyDescent="0.35">
      <c r="B6" s="273"/>
      <c r="C6" s="1"/>
    </row>
    <row r="7" spans="1:9" ht="14.15" customHeight="1" x14ac:dyDescent="0.35">
      <c r="B7" s="454" t="s">
        <v>1649</v>
      </c>
      <c r="C7" s="454"/>
      <c r="D7" s="454"/>
      <c r="E7" s="454"/>
      <c r="F7" s="454"/>
      <c r="G7" s="454"/>
      <c r="H7" s="454"/>
      <c r="I7" s="454"/>
    </row>
    <row r="8" spans="1:9" ht="5.25" customHeight="1" x14ac:dyDescent="0.35">
      <c r="B8" s="273"/>
      <c r="C8" s="1"/>
    </row>
    <row r="9" spans="1:9" ht="25.5" customHeight="1" x14ac:dyDescent="0.35">
      <c r="B9" s="450" t="s">
        <v>1704</v>
      </c>
      <c r="C9" s="450"/>
      <c r="D9" s="450"/>
      <c r="E9" s="450"/>
      <c r="F9" s="450"/>
      <c r="G9" s="450"/>
      <c r="H9" s="450"/>
      <c r="I9" s="450"/>
    </row>
    <row r="10" spans="1:9" ht="9" customHeight="1" x14ac:dyDescent="0.35"/>
    <row r="11" spans="1:9" ht="14.15" customHeight="1" x14ac:dyDescent="0.35">
      <c r="A11" s="32">
        <f>ROUNDDOWN('Operating Segments'!A1,0)+1</f>
        <v>3</v>
      </c>
      <c r="B11" s="93" t="str">
        <f>"Note " &amp;A11 &amp; " Operating income from patient care activities "</f>
        <v xml:space="preserve">Note 3 Operating income from patient care activities </v>
      </c>
      <c r="G11" s="159"/>
    </row>
    <row r="12" spans="1:9" ht="14.15" customHeight="1" x14ac:dyDescent="0.35">
      <c r="B12" s="151" t="str">
        <f>"All income from patient care activities relates to contract income recognised in line with accounting policy 1."&amp;'Acc''g policies 2'!A1</f>
        <v>All income from patient care activities relates to contract income recognised in line with accounting policy 1.4</v>
      </c>
    </row>
    <row r="13" spans="1:9" ht="14.15" customHeight="1" x14ac:dyDescent="0.35">
      <c r="B13" s="14"/>
      <c r="C13" s="457"/>
      <c r="D13" s="457"/>
      <c r="E13" s="457"/>
    </row>
    <row r="14" spans="1:9" ht="21.75" customHeight="1" x14ac:dyDescent="0.35">
      <c r="A14" s="30">
        <f>'3-4 Op Inc'!A11+0.1</f>
        <v>3.1</v>
      </c>
      <c r="B14" s="15" t="str">
        <f>"Note "&amp;A14 &amp;" Income from patient care activities (by nature)"</f>
        <v>Note 3.1 Income from patient care activities (by nature)</v>
      </c>
      <c r="D14" s="80" t="str">
        <f>CurrentFY</f>
        <v>2024/25</v>
      </c>
      <c r="E14" s="80" t="str">
        <f>ComparativeFY</f>
        <v>2023/24</v>
      </c>
    </row>
    <row r="15" spans="1:9" ht="14.15" customHeight="1" x14ac:dyDescent="0.35">
      <c r="B15" s="96"/>
      <c r="D15" s="80" t="s">
        <v>542</v>
      </c>
      <c r="E15" s="80" t="s">
        <v>542</v>
      </c>
    </row>
    <row r="16" spans="1:9" s="237" customFormat="1" ht="14.15" hidden="1" customHeight="1" x14ac:dyDescent="0.35">
      <c r="A16" s="278"/>
      <c r="B16" s="279" t="s">
        <v>745</v>
      </c>
      <c r="D16" s="211"/>
      <c r="E16" s="280"/>
    </row>
    <row r="17" spans="1:5" s="237" customFormat="1" ht="14.15" hidden="1" customHeight="1" x14ac:dyDescent="0.35">
      <c r="A17" s="278"/>
      <c r="B17" s="216" t="s">
        <v>1485</v>
      </c>
      <c r="D17" s="41">
        <v>0</v>
      </c>
      <c r="E17" s="218">
        <v>0</v>
      </c>
    </row>
    <row r="18" spans="1:5" s="237" customFormat="1" ht="14.15" hidden="1" customHeight="1" x14ac:dyDescent="0.35">
      <c r="A18" s="278"/>
      <c r="B18" s="216" t="s">
        <v>1484</v>
      </c>
      <c r="D18" s="41">
        <v>0</v>
      </c>
      <c r="E18" s="218">
        <v>0</v>
      </c>
    </row>
    <row r="19" spans="1:5" s="237" customFormat="1" ht="13.75" hidden="1" customHeight="1" x14ac:dyDescent="0.35">
      <c r="A19" s="278"/>
      <c r="B19" s="216" t="s">
        <v>1486</v>
      </c>
      <c r="D19" s="41">
        <v>0</v>
      </c>
      <c r="E19" s="218">
        <v>0</v>
      </c>
    </row>
    <row r="20" spans="1:5" s="237" customFormat="1" ht="14.15" hidden="1" customHeight="1" x14ac:dyDescent="0.35">
      <c r="A20" s="278"/>
      <c r="B20" s="216" t="s">
        <v>746</v>
      </c>
      <c r="D20" s="41">
        <v>0</v>
      </c>
      <c r="E20" s="218">
        <v>0</v>
      </c>
    </row>
    <row r="21" spans="1:5" s="237" customFormat="1" ht="14.15" hidden="1" customHeight="1" x14ac:dyDescent="0.35">
      <c r="A21" s="278"/>
      <c r="B21" s="279" t="s">
        <v>747</v>
      </c>
      <c r="D21" s="41"/>
      <c r="E21" s="218"/>
    </row>
    <row r="22" spans="1:5" s="237" customFormat="1" ht="14.15" hidden="1" customHeight="1" x14ac:dyDescent="0.35">
      <c r="A22" s="278"/>
      <c r="B22" s="216" t="s">
        <v>1402</v>
      </c>
      <c r="D22" s="41">
        <v>0</v>
      </c>
      <c r="E22" s="218">
        <v>0</v>
      </c>
    </row>
    <row r="23" spans="1:5" s="237" customFormat="1" ht="14.15" hidden="1" customHeight="1" x14ac:dyDescent="0.35">
      <c r="A23" s="278"/>
      <c r="B23" s="216" t="s">
        <v>1310</v>
      </c>
      <c r="D23" s="41">
        <v>0</v>
      </c>
      <c r="E23" s="218">
        <v>0</v>
      </c>
    </row>
    <row r="24" spans="1:5" s="237" customFormat="1" ht="14.15" hidden="1" customHeight="1" x14ac:dyDescent="0.35">
      <c r="A24" s="278"/>
      <c r="B24" s="216" t="s">
        <v>1311</v>
      </c>
      <c r="D24" s="41">
        <v>0</v>
      </c>
      <c r="E24" s="218">
        <v>0</v>
      </c>
    </row>
    <row r="25" spans="1:5" s="237" customFormat="1" ht="13.75" hidden="1" customHeight="1" x14ac:dyDescent="0.35">
      <c r="A25" s="278"/>
      <c r="B25" s="224" t="s">
        <v>748</v>
      </c>
      <c r="D25" s="41">
        <v>0</v>
      </c>
      <c r="E25" s="218">
        <v>0</v>
      </c>
    </row>
    <row r="26" spans="1:5" s="237" customFormat="1" ht="14.15" hidden="1" customHeight="1" x14ac:dyDescent="0.35">
      <c r="A26" s="278"/>
      <c r="B26" s="216" t="s">
        <v>749</v>
      </c>
      <c r="D26" s="41">
        <v>0</v>
      </c>
      <c r="E26" s="218">
        <v>0</v>
      </c>
    </row>
    <row r="27" spans="1:5" s="237" customFormat="1" ht="14.15" hidden="1" customHeight="1" x14ac:dyDescent="0.35">
      <c r="A27" s="278"/>
      <c r="B27" s="216" t="s">
        <v>750</v>
      </c>
      <c r="D27" s="41">
        <v>0</v>
      </c>
      <c r="E27" s="218">
        <v>0</v>
      </c>
    </row>
    <row r="28" spans="1:5" s="237" customFormat="1" ht="14.15" hidden="1" customHeight="1" x14ac:dyDescent="0.35">
      <c r="A28" s="278"/>
      <c r="B28" s="279" t="s">
        <v>751</v>
      </c>
      <c r="D28" s="41"/>
      <c r="E28" s="218"/>
    </row>
    <row r="29" spans="1:5" ht="14.15" customHeight="1" x14ac:dyDescent="0.35">
      <c r="B29" s="105" t="s">
        <v>752</v>
      </c>
      <c r="D29" s="41">
        <v>414365</v>
      </c>
      <c r="E29" s="41">
        <v>389444</v>
      </c>
    </row>
    <row r="30" spans="1:5" ht="14.15" customHeight="1" x14ac:dyDescent="0.35">
      <c r="B30" s="105" t="s">
        <v>753</v>
      </c>
      <c r="D30" s="41">
        <v>54546</v>
      </c>
      <c r="E30" s="41">
        <v>51931</v>
      </c>
    </row>
    <row r="31" spans="1:5" ht="14.15" customHeight="1" x14ac:dyDescent="0.35">
      <c r="B31" s="105" t="s">
        <v>1775</v>
      </c>
      <c r="D31" s="41">
        <v>46794</v>
      </c>
      <c r="E31" s="41">
        <v>41776</v>
      </c>
    </row>
    <row r="32" spans="1:5" s="237" customFormat="1" ht="14.15" hidden="1" customHeight="1" x14ac:dyDescent="0.35">
      <c r="A32" s="278"/>
      <c r="B32" s="281" t="s">
        <v>755</v>
      </c>
      <c r="D32" s="41"/>
      <c r="E32" s="218"/>
    </row>
    <row r="33" spans="1:18" s="237" customFormat="1" ht="14.15" hidden="1" customHeight="1" x14ac:dyDescent="0.35">
      <c r="A33" s="278"/>
      <c r="B33" s="216" t="s">
        <v>1402</v>
      </c>
      <c r="D33" s="41">
        <v>0</v>
      </c>
      <c r="E33" s="218">
        <v>0</v>
      </c>
    </row>
    <row r="34" spans="1:18" s="237" customFormat="1" ht="14.15" hidden="1" customHeight="1" x14ac:dyDescent="0.35">
      <c r="A34" s="278"/>
      <c r="B34" s="216" t="s">
        <v>756</v>
      </c>
      <c r="D34" s="41">
        <v>0</v>
      </c>
      <c r="E34" s="218">
        <v>0</v>
      </c>
    </row>
    <row r="35" spans="1:18" s="237" customFormat="1" ht="14.15" hidden="1" customHeight="1" x14ac:dyDescent="0.35">
      <c r="A35" s="278"/>
      <c r="B35" s="282" t="s">
        <v>757</v>
      </c>
      <c r="D35" s="41"/>
      <c r="E35" s="218"/>
    </row>
    <row r="36" spans="1:18" s="237" customFormat="1" ht="14.15" hidden="1" customHeight="1" thickBot="1" x14ac:dyDescent="0.4">
      <c r="A36" s="278"/>
      <c r="B36" s="224" t="s">
        <v>758</v>
      </c>
      <c r="D36" s="41">
        <v>0</v>
      </c>
      <c r="E36" s="218">
        <v>0</v>
      </c>
    </row>
    <row r="37" spans="1:18" s="237" customFormat="1" ht="14.15" hidden="1" customHeight="1" thickBot="1" x14ac:dyDescent="0.4">
      <c r="A37" s="278"/>
      <c r="B37" s="224" t="s">
        <v>1472</v>
      </c>
      <c r="D37" s="41">
        <v>0</v>
      </c>
      <c r="E37" s="218">
        <v>0</v>
      </c>
      <c r="G37" s="283" t="s">
        <v>1438</v>
      </c>
      <c r="H37" s="284"/>
      <c r="I37" s="284"/>
      <c r="J37" s="284"/>
      <c r="K37" s="284"/>
      <c r="L37" s="284"/>
      <c r="M37" s="284"/>
      <c r="N37" s="284"/>
      <c r="O37" s="284"/>
      <c r="P37" s="284"/>
      <c r="Q37" s="284"/>
      <c r="R37" s="285"/>
    </row>
    <row r="38" spans="1:18" ht="14.15" customHeight="1" x14ac:dyDescent="0.35">
      <c r="B38" s="112" t="s">
        <v>1720</v>
      </c>
      <c r="D38" s="41">
        <v>24705</v>
      </c>
      <c r="E38" s="41">
        <v>15211</v>
      </c>
    </row>
    <row r="39" spans="1:18" s="237" customFormat="1" ht="14.15" hidden="1" customHeight="1" x14ac:dyDescent="0.35">
      <c r="A39" s="278"/>
      <c r="B39" s="224" t="s">
        <v>759</v>
      </c>
      <c r="D39" s="41">
        <v>0</v>
      </c>
      <c r="E39" s="218">
        <v>0</v>
      </c>
    </row>
    <row r="40" spans="1:18" ht="14.15" customHeight="1" thickBot="1" x14ac:dyDescent="0.4">
      <c r="B40" s="93" t="s">
        <v>760</v>
      </c>
      <c r="D40" s="42">
        <f>SUM(D16:D39)</f>
        <v>540410</v>
      </c>
      <c r="E40" s="42">
        <f>SUM(E16:E39)</f>
        <v>498362</v>
      </c>
    </row>
    <row r="41" spans="1:18" ht="8.15" customHeight="1" thickTop="1" x14ac:dyDescent="0.35">
      <c r="B41" s="135"/>
      <c r="C41" s="19"/>
      <c r="D41" s="18"/>
      <c r="E41" s="19"/>
    </row>
    <row r="42" spans="1:18" s="237" customFormat="1" ht="45.75" hidden="1" customHeight="1" x14ac:dyDescent="0.35">
      <c r="A42" s="278"/>
      <c r="B42" s="441" t="s">
        <v>1470</v>
      </c>
      <c r="C42" s="441"/>
      <c r="D42" s="441"/>
      <c r="E42" s="441"/>
    </row>
    <row r="43" spans="1:18" s="237" customFormat="1" ht="15" hidden="1" customHeight="1" x14ac:dyDescent="0.35">
      <c r="A43" s="278"/>
      <c r="B43" s="458" t="s">
        <v>1471</v>
      </c>
      <c r="C43" s="441"/>
      <c r="D43" s="441"/>
      <c r="E43" s="441"/>
    </row>
    <row r="44" spans="1:18" ht="53.25" customHeight="1" x14ac:dyDescent="0.35">
      <c r="B44" s="432" t="s">
        <v>1725</v>
      </c>
      <c r="C44" s="432"/>
      <c r="D44" s="432"/>
      <c r="E44" s="432"/>
      <c r="F44" s="432"/>
      <c r="G44" s="432"/>
      <c r="H44" s="432"/>
      <c r="I44" s="432"/>
    </row>
    <row r="45" spans="1:18" s="237" customFormat="1" ht="69" hidden="1" customHeight="1" x14ac:dyDescent="0.35">
      <c r="A45" s="278"/>
      <c r="B45" s="456" t="s">
        <v>1719</v>
      </c>
      <c r="C45" s="456"/>
      <c r="D45" s="456"/>
      <c r="E45" s="456"/>
      <c r="G45" s="220"/>
      <c r="H45" s="220"/>
      <c r="I45" s="220"/>
      <c r="J45" s="220"/>
      <c r="K45" s="220"/>
      <c r="L45" s="220"/>
      <c r="M45" s="220"/>
      <c r="N45" s="220"/>
      <c r="O45" s="220"/>
      <c r="P45" s="220"/>
    </row>
    <row r="46" spans="1:18" s="2" customFormat="1" ht="18" customHeight="1" x14ac:dyDescent="0.25">
      <c r="A46" s="30"/>
      <c r="B46" s="413" t="s">
        <v>1774</v>
      </c>
      <c r="C46" s="412"/>
      <c r="D46" s="412"/>
      <c r="E46" s="412"/>
      <c r="F46" s="409"/>
      <c r="G46" s="410"/>
      <c r="H46" s="410"/>
    </row>
    <row r="47" spans="1:18" s="410" customFormat="1" ht="9" customHeight="1" x14ac:dyDescent="0.25">
      <c r="A47" s="408"/>
      <c r="B47" s="411"/>
      <c r="C47" s="412"/>
      <c r="D47" s="412"/>
      <c r="E47" s="412"/>
      <c r="F47" s="409"/>
    </row>
    <row r="48" spans="1:18" s="2" customFormat="1" ht="14.15" customHeight="1" x14ac:dyDescent="0.35">
      <c r="A48" s="30">
        <f>'3-4 Op Inc'!A14+0.1</f>
        <v>3.2</v>
      </c>
      <c r="B48" s="16" t="str">
        <f>"Note "&amp;A48 &amp;" Income from patient care activities (by source)"</f>
        <v>Note 3.2 Income from patient care activities (by source)</v>
      </c>
      <c r="F48"/>
    </row>
    <row r="49" spans="1:6" s="2" customFormat="1" ht="14.15" customHeight="1" x14ac:dyDescent="0.25">
      <c r="A49" s="30"/>
      <c r="B49" s="15"/>
      <c r="D49" s="80" t="str">
        <f>CurrentFY</f>
        <v>2024/25</v>
      </c>
      <c r="E49" s="80" t="str">
        <f>ComparativeFY</f>
        <v>2023/24</v>
      </c>
      <c r="F49" s="92"/>
    </row>
    <row r="50" spans="1:6" s="2" customFormat="1" ht="14.15" customHeight="1" x14ac:dyDescent="0.25">
      <c r="A50" s="30"/>
      <c r="B50" s="5" t="s">
        <v>761</v>
      </c>
      <c r="D50" s="80" t="s">
        <v>542</v>
      </c>
      <c r="E50" s="80" t="s">
        <v>542</v>
      </c>
      <c r="F50" s="92"/>
    </row>
    <row r="51" spans="1:6" s="2" customFormat="1" ht="14.15" customHeight="1" x14ac:dyDescent="0.25">
      <c r="A51" s="30"/>
      <c r="B51" s="105" t="s">
        <v>762</v>
      </c>
      <c r="D51" s="41">
        <v>24719</v>
      </c>
      <c r="E51" s="41">
        <v>15288</v>
      </c>
    </row>
    <row r="52" spans="1:6" s="2" customFormat="1" ht="14.15" customHeight="1" x14ac:dyDescent="0.25">
      <c r="A52" s="30"/>
      <c r="B52" s="105" t="s">
        <v>1379</v>
      </c>
      <c r="D52" s="41">
        <v>514330</v>
      </c>
      <c r="E52" s="41">
        <v>481734</v>
      </c>
    </row>
    <row r="53" spans="1:6" s="2" customFormat="1" ht="14.15" customHeight="1" x14ac:dyDescent="0.25">
      <c r="A53" s="30"/>
      <c r="B53" s="105" t="s">
        <v>763</v>
      </c>
      <c r="D53" s="41">
        <v>0</v>
      </c>
      <c r="E53" s="41">
        <v>90</v>
      </c>
    </row>
    <row r="54" spans="1:6" s="2" customFormat="1" ht="14.15" customHeight="1" x14ac:dyDescent="0.25">
      <c r="A54" s="30"/>
      <c r="B54" s="105" t="s">
        <v>764</v>
      </c>
      <c r="D54" s="41">
        <v>154</v>
      </c>
      <c r="E54" s="41">
        <v>188</v>
      </c>
    </row>
    <row r="55" spans="1:6" s="220" customFormat="1" ht="14.15" hidden="1" customHeight="1" x14ac:dyDescent="0.25">
      <c r="A55" s="286"/>
      <c r="B55" s="216" t="s">
        <v>765</v>
      </c>
      <c r="D55" s="218">
        <v>0</v>
      </c>
      <c r="E55" s="218">
        <v>0</v>
      </c>
    </row>
    <row r="56" spans="1:6" s="2" customFormat="1" ht="14.15" customHeight="1" x14ac:dyDescent="0.25">
      <c r="A56" s="30"/>
      <c r="B56" s="105" t="s">
        <v>766</v>
      </c>
      <c r="D56" s="41">
        <v>73</v>
      </c>
      <c r="E56" s="41">
        <v>9</v>
      </c>
    </row>
    <row r="57" spans="1:6" s="220" customFormat="1" ht="14.15" hidden="1" customHeight="1" x14ac:dyDescent="0.25">
      <c r="A57" s="286"/>
      <c r="B57" s="216" t="s">
        <v>767</v>
      </c>
      <c r="D57" s="218">
        <v>0</v>
      </c>
      <c r="E57" s="218">
        <v>0</v>
      </c>
    </row>
    <row r="58" spans="1:6" s="220" customFormat="1" ht="14.15" hidden="1" customHeight="1" x14ac:dyDescent="0.25">
      <c r="A58" s="286"/>
      <c r="B58" s="216" t="s">
        <v>768</v>
      </c>
      <c r="D58" s="218">
        <v>0</v>
      </c>
      <c r="E58" s="218">
        <v>0</v>
      </c>
    </row>
    <row r="59" spans="1:6" s="2" customFormat="1" ht="14.15" customHeight="1" x14ac:dyDescent="0.25">
      <c r="A59" s="30"/>
      <c r="B59" s="105" t="s">
        <v>769</v>
      </c>
      <c r="D59" s="41">
        <v>730</v>
      </c>
      <c r="E59" s="41">
        <v>642</v>
      </c>
    </row>
    <row r="60" spans="1:6" s="2" customFormat="1" ht="14.15" customHeight="1" x14ac:dyDescent="0.25">
      <c r="A60" s="30"/>
      <c r="B60" s="105" t="s">
        <v>770</v>
      </c>
      <c r="D60" s="41">
        <v>404</v>
      </c>
      <c r="E60" s="41">
        <v>411</v>
      </c>
    </row>
    <row r="61" spans="1:6" s="2" customFormat="1" ht="14.15" customHeight="1" thickBot="1" x14ac:dyDescent="0.3">
      <c r="A61" s="30"/>
      <c r="B61" s="16" t="s">
        <v>760</v>
      </c>
      <c r="D61" s="42">
        <f>SUM(D51:D60)</f>
        <v>540410</v>
      </c>
      <c r="E61" s="42">
        <f>SUM(E51:E60)</f>
        <v>498362</v>
      </c>
    </row>
    <row r="62" spans="1:6" s="2" customFormat="1" ht="14.15" customHeight="1" thickTop="1" x14ac:dyDescent="0.25">
      <c r="A62" s="30"/>
      <c r="B62" s="16" t="s">
        <v>771</v>
      </c>
      <c r="D62" s="211"/>
      <c r="E62" s="211"/>
    </row>
    <row r="63" spans="1:6" s="2" customFormat="1" ht="14.15" customHeight="1" x14ac:dyDescent="0.25">
      <c r="A63" s="30"/>
      <c r="B63" s="105" t="s">
        <v>772</v>
      </c>
      <c r="D63" s="41">
        <v>540410</v>
      </c>
      <c r="E63" s="41">
        <v>498362</v>
      </c>
    </row>
    <row r="64" spans="1:6" s="220" customFormat="1" ht="14.15" hidden="1" customHeight="1" x14ac:dyDescent="0.25">
      <c r="A64" s="286"/>
      <c r="B64" s="216" t="s">
        <v>773</v>
      </c>
      <c r="C64" s="218">
        <v>0</v>
      </c>
      <c r="D64" s="218"/>
      <c r="E64" s="218">
        <v>0</v>
      </c>
    </row>
    <row r="65" spans="1:9" s="2" customFormat="1" ht="14.15" customHeight="1" x14ac:dyDescent="0.25">
      <c r="A65" s="30"/>
      <c r="B65" s="10"/>
      <c r="C65" s="41"/>
      <c r="D65" s="41"/>
      <c r="E65" s="41"/>
    </row>
    <row r="66" spans="1:9" s="2" customFormat="1" ht="14.15" customHeight="1" x14ac:dyDescent="0.35">
      <c r="A66" s="32">
        <f>ROUND(A48,0)+1</f>
        <v>4</v>
      </c>
      <c r="B66" s="14" t="str">
        <f>"Note " &amp;A66 &amp; " Other operating income"</f>
        <v>Note 4 Other operating income</v>
      </c>
      <c r="C66" s="455" t="str">
        <f>CurrentFY</f>
        <v>2024/25</v>
      </c>
      <c r="D66" s="455"/>
      <c r="E66" s="455"/>
      <c r="F66" s="1"/>
      <c r="G66" s="455" t="str">
        <f>ComparativeFY</f>
        <v>2023/24</v>
      </c>
      <c r="H66" s="455"/>
      <c r="I66" s="455"/>
    </row>
    <row r="67" spans="1:9" ht="38.25" customHeight="1" x14ac:dyDescent="0.35">
      <c r="A67" s="171"/>
      <c r="B67" s="172"/>
      <c r="C67" s="367" t="s">
        <v>778</v>
      </c>
      <c r="D67" s="367" t="s">
        <v>779</v>
      </c>
      <c r="E67" s="226" t="s">
        <v>541</v>
      </c>
      <c r="F67" s="368"/>
      <c r="G67" s="367" t="s">
        <v>778</v>
      </c>
      <c r="H67" s="367" t="s">
        <v>779</v>
      </c>
      <c r="I67" s="226" t="s">
        <v>541</v>
      </c>
    </row>
    <row r="68" spans="1:9" ht="14.15" customHeight="1" x14ac:dyDescent="0.35">
      <c r="B68" s="13"/>
      <c r="C68" s="80" t="s">
        <v>542</v>
      </c>
      <c r="D68" s="80" t="s">
        <v>542</v>
      </c>
      <c r="E68" s="80" t="s">
        <v>542</v>
      </c>
      <c r="F68" s="1"/>
      <c r="G68" s="80" t="s">
        <v>542</v>
      </c>
      <c r="H68" s="80" t="s">
        <v>542</v>
      </c>
      <c r="I68" s="80" t="s">
        <v>542</v>
      </c>
    </row>
    <row r="69" spans="1:9" ht="14.15" customHeight="1" x14ac:dyDescent="0.35">
      <c r="B69" s="105" t="s">
        <v>781</v>
      </c>
      <c r="C69" s="41">
        <v>5883</v>
      </c>
      <c r="D69" s="41">
        <v>0</v>
      </c>
      <c r="E69" s="50">
        <f t="shared" ref="E69:E78" si="0">SUM(C69:D69)</f>
        <v>5883</v>
      </c>
      <c r="F69" s="105"/>
      <c r="G69" s="41">
        <v>6449</v>
      </c>
      <c r="H69" s="41">
        <v>0</v>
      </c>
      <c r="I69" s="50">
        <f t="shared" ref="I69:I78" si="1">SUM(G69:H69)</f>
        <v>6449</v>
      </c>
    </row>
    <row r="70" spans="1:9" ht="14.15" customHeight="1" x14ac:dyDescent="0.35">
      <c r="B70" s="105" t="s">
        <v>782</v>
      </c>
      <c r="C70" s="41">
        <v>3415</v>
      </c>
      <c r="D70" s="41"/>
      <c r="E70" s="50">
        <f t="shared" si="0"/>
        <v>3415</v>
      </c>
      <c r="F70" s="105"/>
      <c r="G70" s="41">
        <v>1967</v>
      </c>
      <c r="H70" s="41"/>
      <c r="I70" s="50">
        <f>SUM(G70:H70)</f>
        <v>1967</v>
      </c>
    </row>
    <row r="71" spans="1:9" s="237" customFormat="1" ht="14.15" hidden="1" customHeight="1" x14ac:dyDescent="0.35">
      <c r="A71" s="278"/>
      <c r="B71" s="216" t="s">
        <v>783</v>
      </c>
      <c r="C71" s="41">
        <v>0</v>
      </c>
      <c r="D71" s="218"/>
      <c r="E71" s="227"/>
      <c r="F71" s="216"/>
      <c r="G71" s="218"/>
      <c r="H71" s="218"/>
      <c r="I71" s="227"/>
    </row>
    <row r="72" spans="1:9" s="237" customFormat="1" ht="29.25" hidden="1" customHeight="1" x14ac:dyDescent="0.35">
      <c r="A72" s="278"/>
      <c r="B72" s="216" t="s">
        <v>1403</v>
      </c>
      <c r="C72" s="218"/>
      <c r="D72" s="218"/>
      <c r="E72" s="227"/>
      <c r="F72" s="216"/>
      <c r="G72" s="218"/>
      <c r="H72" s="218">
        <v>0</v>
      </c>
      <c r="I72" s="227">
        <f t="shared" si="1"/>
        <v>0</v>
      </c>
    </row>
    <row r="73" spans="1:9" ht="28.5" customHeight="1" x14ac:dyDescent="0.35">
      <c r="B73" s="105" t="s">
        <v>784</v>
      </c>
      <c r="C73" s="41"/>
      <c r="D73" s="41">
        <v>2529</v>
      </c>
      <c r="E73" s="50">
        <f t="shared" si="0"/>
        <v>2529</v>
      </c>
      <c r="F73" s="105"/>
      <c r="G73" s="41"/>
      <c r="H73" s="41">
        <v>2171</v>
      </c>
      <c r="I73" s="50">
        <f t="shared" si="1"/>
        <v>2171</v>
      </c>
    </row>
    <row r="74" spans="1:9" s="237" customFormat="1" ht="14.15" hidden="1" customHeight="1" x14ac:dyDescent="0.35">
      <c r="A74" s="278"/>
      <c r="B74" s="216" t="s">
        <v>785</v>
      </c>
      <c r="C74" s="218"/>
      <c r="D74" s="218"/>
      <c r="E74" s="227"/>
      <c r="F74" s="216"/>
      <c r="G74" s="218"/>
      <c r="H74" s="218"/>
      <c r="I74" s="227"/>
    </row>
    <row r="75" spans="1:9" s="237" customFormat="1" ht="14.15" hidden="1" customHeight="1" x14ac:dyDescent="0.35">
      <c r="A75" s="278"/>
      <c r="B75" s="216" t="s">
        <v>1380</v>
      </c>
      <c r="C75" s="218"/>
      <c r="D75" s="218"/>
      <c r="E75" s="227"/>
      <c r="F75" s="216"/>
      <c r="G75" s="218"/>
      <c r="H75" s="218"/>
      <c r="I75" s="227"/>
    </row>
    <row r="76" spans="1:9" s="237" customFormat="1" ht="14.15" hidden="1" customHeight="1" x14ac:dyDescent="0.35">
      <c r="A76" s="278"/>
      <c r="B76" s="216" t="s">
        <v>1363</v>
      </c>
      <c r="C76" s="218"/>
      <c r="D76" s="218"/>
      <c r="E76" s="227"/>
      <c r="F76" s="216"/>
      <c r="G76" s="218"/>
      <c r="H76" s="218"/>
      <c r="I76" s="227"/>
    </row>
    <row r="77" spans="1:9" s="237" customFormat="1" ht="14.15" hidden="1" customHeight="1" x14ac:dyDescent="0.35">
      <c r="A77" s="278"/>
      <c r="B77" s="216" t="s">
        <v>786</v>
      </c>
      <c r="C77" s="218"/>
      <c r="D77" s="218"/>
      <c r="E77" s="227"/>
      <c r="F77" s="216"/>
      <c r="G77" s="218"/>
      <c r="H77" s="218"/>
      <c r="I77" s="227"/>
    </row>
    <row r="78" spans="1:9" ht="14.15" customHeight="1" x14ac:dyDescent="0.35">
      <c r="B78" s="105" t="s">
        <v>754</v>
      </c>
      <c r="C78" s="41">
        <v>2518</v>
      </c>
      <c r="D78" s="41">
        <v>0</v>
      </c>
      <c r="E78" s="50">
        <f t="shared" si="0"/>
        <v>2518</v>
      </c>
      <c r="F78" s="105"/>
      <c r="G78" s="41">
        <v>3047</v>
      </c>
      <c r="H78" s="41">
        <v>0</v>
      </c>
      <c r="I78" s="50">
        <f t="shared" si="1"/>
        <v>3047</v>
      </c>
    </row>
    <row r="79" spans="1:9" ht="14.15" customHeight="1" thickBot="1" x14ac:dyDescent="0.4">
      <c r="B79" s="93" t="s">
        <v>787</v>
      </c>
      <c r="C79" s="42">
        <f>SUM(C69:C78)</f>
        <v>11816</v>
      </c>
      <c r="D79" s="42">
        <f>SUM(D69:D78)</f>
        <v>2529</v>
      </c>
      <c r="E79" s="42">
        <f>SUM(E69:E78)</f>
        <v>14345</v>
      </c>
      <c r="F79" s="93"/>
      <c r="G79" s="42">
        <f>SUM(G69:G78)</f>
        <v>11463</v>
      </c>
      <c r="H79" s="42">
        <f>SUM(H69:H78)</f>
        <v>2171</v>
      </c>
      <c r="I79" s="42">
        <f>SUM(I69:I78)</f>
        <v>13634</v>
      </c>
    </row>
    <row r="80" spans="1:9" ht="14.15" customHeight="1" thickTop="1" x14ac:dyDescent="0.35">
      <c r="B80" s="93" t="s">
        <v>771</v>
      </c>
      <c r="C80" s="93"/>
      <c r="D80" s="93"/>
      <c r="E80" s="211"/>
      <c r="F80" s="93"/>
      <c r="G80" s="93"/>
      <c r="H80" s="93"/>
      <c r="I80" s="211"/>
    </row>
    <row r="81" spans="1:9" ht="14.15" customHeight="1" x14ac:dyDescent="0.35">
      <c r="B81" s="105" t="s">
        <v>772</v>
      </c>
      <c r="C81" s="105"/>
      <c r="D81" s="105"/>
      <c r="E81" s="41">
        <f>E79</f>
        <v>14345</v>
      </c>
      <c r="F81" s="105"/>
      <c r="G81" s="105"/>
      <c r="H81" s="105"/>
      <c r="I81" s="41">
        <f>I79</f>
        <v>13634</v>
      </c>
    </row>
    <row r="82" spans="1:9" s="237" customFormat="1" ht="14.15" hidden="1" customHeight="1" x14ac:dyDescent="0.35">
      <c r="A82" s="278"/>
      <c r="B82" s="216" t="s">
        <v>773</v>
      </c>
      <c r="C82" s="216"/>
      <c r="D82" s="216"/>
      <c r="E82" s="218">
        <v>0</v>
      </c>
      <c r="F82" s="216"/>
      <c r="G82" s="216"/>
      <c r="H82" s="216"/>
      <c r="I82" s="218">
        <v>0</v>
      </c>
    </row>
    <row r="83" spans="1:9" ht="14.15" customHeight="1" x14ac:dyDescent="0.35">
      <c r="B83" s="105"/>
      <c r="C83" s="105"/>
      <c r="D83" s="105"/>
      <c r="E83" s="41"/>
      <c r="F83" s="105"/>
      <c r="G83" s="105"/>
      <c r="H83" s="105"/>
      <c r="I83" s="41"/>
    </row>
    <row r="84" spans="1:9" ht="14.15" customHeight="1" x14ac:dyDescent="0.35">
      <c r="A84" s="32">
        <f>A66+1.1</f>
        <v>5.0999999999999996</v>
      </c>
      <c r="B84" s="287" t="str">
        <f>"Note " &amp;A84 &amp; " Additional information on contract revenue (IFRS 15) recognised in the period"</f>
        <v>Note 5.1 Additional information on contract revenue (IFRS 15) recognised in the period</v>
      </c>
      <c r="C84" s="4"/>
      <c r="D84" s="4"/>
      <c r="E84" s="4"/>
      <c r="F84" s="41"/>
    </row>
    <row r="85" spans="1:9" ht="24" customHeight="1" x14ac:dyDescent="0.35">
      <c r="B85" s="4"/>
      <c r="D85" s="288" t="str">
        <f>CurrentFY</f>
        <v>2024/25</v>
      </c>
      <c r="E85" s="288" t="str">
        <f>ComparativeFY</f>
        <v>2023/24</v>
      </c>
      <c r="F85" s="41"/>
    </row>
    <row r="86" spans="1:9" ht="16.5" customHeight="1" x14ac:dyDescent="0.35">
      <c r="B86" s="4"/>
      <c r="D86" s="288" t="s">
        <v>542</v>
      </c>
      <c r="E86" s="288" t="s">
        <v>542</v>
      </c>
    </row>
    <row r="87" spans="1:9" ht="41.25" customHeight="1" x14ac:dyDescent="0.35">
      <c r="B87" s="453" t="s">
        <v>1650</v>
      </c>
      <c r="C87" s="453"/>
      <c r="D87" s="289">
        <v>2843</v>
      </c>
      <c r="E87" s="289">
        <v>2873</v>
      </c>
    </row>
  </sheetData>
  <customSheetViews>
    <customSheetView guid="{EDC1BD6E-863A-4FC6-A3A9-F32079F4F0C1}">
      <selection activeCell="K10" sqref="K10"/>
      <pageMargins left="0" right="0" top="0" bottom="0" header="0" footer="0"/>
      <pageSetup paperSize="9" orientation="portrait" verticalDpi="0" r:id="rId1"/>
      <headerFooter>
        <oddHeader>&amp;LINSERT YOUR NHS Foundation Trust&amp;RStatement of accounts 2014/15</oddHeader>
      </headerFooter>
    </customSheetView>
  </customSheetViews>
  <mergeCells count="12">
    <mergeCell ref="B87:C87"/>
    <mergeCell ref="B2:I2"/>
    <mergeCell ref="B3:I3"/>
    <mergeCell ref="B9:I9"/>
    <mergeCell ref="B7:I7"/>
    <mergeCell ref="C66:E66"/>
    <mergeCell ref="G66:I66"/>
    <mergeCell ref="B45:E45"/>
    <mergeCell ref="C13:E13"/>
    <mergeCell ref="B42:E42"/>
    <mergeCell ref="B43:E43"/>
    <mergeCell ref="B44:I44"/>
  </mergeCells>
  <hyperlinks>
    <hyperlink ref="B43" r:id="rId2" xr:uid="{A3A56264-48AD-4E8F-BD8C-F6B899ECC33A}"/>
  </hyperlinks>
  <pageMargins left="0.59055118110236227" right="0.59055118110236227" top="0.59055118110236227" bottom="0.59055118110236227" header="0" footer="0"/>
  <pageSetup paperSize="9" scale="96" orientation="portrait" r:id="rId3"/>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autoPageBreaks="0"/>
  </sheetPr>
  <dimension ref="B2:D244"/>
  <sheetViews>
    <sheetView workbookViewId="0"/>
  </sheetViews>
  <sheetFormatPr defaultColWidth="9.1796875" defaultRowHeight="12.5" x14ac:dyDescent="0.25"/>
  <cols>
    <col min="1" max="1" width="3.1796875" style="4" customWidth="1"/>
    <col min="2" max="2" width="43.7265625" style="2" customWidth="1"/>
    <col min="3" max="3" width="40" style="2" customWidth="1"/>
    <col min="4" max="4" width="11.7265625" style="2" bestFit="1" customWidth="1"/>
    <col min="5" max="16384" width="9.1796875" style="4"/>
  </cols>
  <sheetData>
    <row r="2" spans="2:4" ht="24" customHeight="1" x14ac:dyDescent="0.55000000000000004">
      <c r="B2" s="426" t="s">
        <v>0</v>
      </c>
      <c r="C2" s="426"/>
    </row>
    <row r="4" spans="2:4" ht="14" x14ac:dyDescent="0.3">
      <c r="B4" s="62" t="s">
        <v>38</v>
      </c>
      <c r="C4" s="90"/>
    </row>
    <row r="5" spans="2:4" ht="13" thickBot="1" x14ac:dyDescent="0.3"/>
    <row r="6" spans="2:4" ht="13" thickBot="1" x14ac:dyDescent="0.3">
      <c r="B6" s="2" t="s">
        <v>39</v>
      </c>
      <c r="C6" s="149" t="s">
        <v>306</v>
      </c>
    </row>
    <row r="7" spans="2:4" ht="27.75" customHeight="1" thickBot="1" x14ac:dyDescent="0.3">
      <c r="B7" s="2" t="s">
        <v>41</v>
      </c>
      <c r="C7" s="103" t="str">
        <f>VLOOKUP(C6,B33:D247,2,FALSE)</f>
        <v>North West Ambulance Service NHS Trust</v>
      </c>
    </row>
    <row r="8" spans="2:4" ht="13.75" customHeight="1" thickBot="1" x14ac:dyDescent="0.3">
      <c r="B8" s="2" t="s">
        <v>42</v>
      </c>
      <c r="C8" s="103" t="str">
        <f>VLOOKUP(C6,B33:D247,3,FALSE)</f>
        <v>TR</v>
      </c>
    </row>
    <row r="9" spans="2:4" ht="13" thickBot="1" x14ac:dyDescent="0.3"/>
    <row r="10" spans="2:4" ht="13" thickBot="1" x14ac:dyDescent="0.3">
      <c r="B10" s="2" t="s">
        <v>43</v>
      </c>
      <c r="C10" s="102">
        <v>45747</v>
      </c>
    </row>
    <row r="11" spans="2:4" ht="13.5" thickBot="1" x14ac:dyDescent="0.35">
      <c r="B11" s="2" t="s">
        <v>44</v>
      </c>
      <c r="C11" s="102">
        <v>45383</v>
      </c>
      <c r="D11" s="64" t="s">
        <v>45</v>
      </c>
    </row>
    <row r="12" spans="2:4" ht="13.5" thickBot="1" x14ac:dyDescent="0.35">
      <c r="B12" s="2" t="s">
        <v>46</v>
      </c>
      <c r="C12" s="102">
        <v>45382</v>
      </c>
      <c r="D12" s="64" t="s">
        <v>45</v>
      </c>
    </row>
    <row r="13" spans="2:4" ht="13" thickBot="1" x14ac:dyDescent="0.3">
      <c r="B13" s="2" t="s">
        <v>47</v>
      </c>
      <c r="C13" s="102">
        <v>45017</v>
      </c>
    </row>
    <row r="14" spans="2:4" ht="13" thickBot="1" x14ac:dyDescent="0.3"/>
    <row r="15" spans="2:4" ht="13" thickBot="1" x14ac:dyDescent="0.3">
      <c r="B15" s="2" t="s">
        <v>48</v>
      </c>
      <c r="C15" s="102" t="s">
        <v>1443</v>
      </c>
    </row>
    <row r="16" spans="2:4" ht="13" thickBot="1" x14ac:dyDescent="0.3">
      <c r="B16" s="2" t="s">
        <v>49</v>
      </c>
      <c r="C16" s="102" t="s">
        <v>1321</v>
      </c>
    </row>
    <row r="17" spans="2:4" ht="13" thickBot="1" x14ac:dyDescent="0.3"/>
    <row r="18" spans="2:4" ht="13" thickBot="1" x14ac:dyDescent="0.3">
      <c r="B18" s="2" t="s">
        <v>50</v>
      </c>
      <c r="C18" s="63" t="s">
        <v>1492</v>
      </c>
    </row>
    <row r="19" spans="2:4" ht="13.5" thickBot="1" x14ac:dyDescent="0.35">
      <c r="B19" s="2" t="s">
        <v>51</v>
      </c>
      <c r="C19" s="63" t="s">
        <v>1442</v>
      </c>
      <c r="D19" s="64" t="s">
        <v>52</v>
      </c>
    </row>
    <row r="20" spans="2:4" ht="13" thickBot="1" x14ac:dyDescent="0.3">
      <c r="B20" s="2" t="s">
        <v>53</v>
      </c>
      <c r="C20" s="63" t="s">
        <v>1320</v>
      </c>
    </row>
    <row r="21" spans="2:4" ht="13" thickBot="1" x14ac:dyDescent="0.3"/>
    <row r="22" spans="2:4" ht="13" thickBot="1" x14ac:dyDescent="0.3">
      <c r="B22" s="2" t="s">
        <v>54</v>
      </c>
      <c r="C22" s="63" t="s">
        <v>1493</v>
      </c>
    </row>
    <row r="23" spans="2:4" ht="13" thickBot="1" x14ac:dyDescent="0.3"/>
    <row r="24" spans="2:4" ht="13.5" thickBot="1" x14ac:dyDescent="0.35">
      <c r="B24" s="2" t="s">
        <v>55</v>
      </c>
      <c r="C24" s="101"/>
      <c r="D24" s="64" t="s">
        <v>1491</v>
      </c>
    </row>
    <row r="26" spans="2:4" ht="73.5" customHeight="1" x14ac:dyDescent="0.25">
      <c r="B26" s="425" t="s">
        <v>1624</v>
      </c>
      <c r="C26" s="425"/>
    </row>
    <row r="27" spans="2:4" x14ac:dyDescent="0.25">
      <c r="B27" s="65"/>
    </row>
    <row r="28" spans="2:4" x14ac:dyDescent="0.25">
      <c r="B28" s="82" t="s">
        <v>1361</v>
      </c>
    </row>
    <row r="31" spans="2:4" hidden="1" x14ac:dyDescent="0.25"/>
    <row r="32" spans="2:4" ht="13" hidden="1" thickBot="1" x14ac:dyDescent="0.3">
      <c r="B32" s="66" t="s">
        <v>39</v>
      </c>
      <c r="C32" s="67" t="s">
        <v>56</v>
      </c>
      <c r="D32" s="67" t="s">
        <v>57</v>
      </c>
    </row>
    <row r="33" spans="2:4" ht="13" hidden="1" thickTop="1" x14ac:dyDescent="0.25">
      <c r="B33" s="68" t="s">
        <v>40</v>
      </c>
      <c r="C33" s="70" t="s">
        <v>58</v>
      </c>
      <c r="D33" s="69"/>
    </row>
    <row r="34" spans="2:4" hidden="1" x14ac:dyDescent="0.25">
      <c r="B34" s="74" t="s">
        <v>60</v>
      </c>
      <c r="C34" s="73" t="s">
        <v>61</v>
      </c>
      <c r="D34" s="141" t="s">
        <v>59</v>
      </c>
    </row>
    <row r="35" spans="2:4" hidden="1" x14ac:dyDescent="0.25">
      <c r="B35" s="74" t="s">
        <v>62</v>
      </c>
      <c r="C35" s="73" t="s">
        <v>63</v>
      </c>
      <c r="D35" s="141" t="s">
        <v>59</v>
      </c>
    </row>
    <row r="36" spans="2:4" hidden="1" x14ac:dyDescent="0.25">
      <c r="B36" s="71" t="s">
        <v>64</v>
      </c>
      <c r="C36" s="73" t="s">
        <v>65</v>
      </c>
      <c r="D36" s="72" t="s">
        <v>59</v>
      </c>
    </row>
    <row r="37" spans="2:4" hidden="1" x14ac:dyDescent="0.25">
      <c r="B37" s="74" t="s">
        <v>66</v>
      </c>
      <c r="C37" s="73" t="s">
        <v>67</v>
      </c>
      <c r="D37" s="141" t="s">
        <v>59</v>
      </c>
    </row>
    <row r="38" spans="2:4" hidden="1" x14ac:dyDescent="0.25">
      <c r="B38" s="74" t="s">
        <v>68</v>
      </c>
      <c r="C38" s="73" t="s">
        <v>69</v>
      </c>
      <c r="D38" s="141" t="s">
        <v>70</v>
      </c>
    </row>
    <row r="39" spans="2:4" hidden="1" x14ac:dyDescent="0.25">
      <c r="B39" s="74" t="s">
        <v>71</v>
      </c>
      <c r="C39" s="73" t="s">
        <v>72</v>
      </c>
      <c r="D39" s="147" t="s">
        <v>70</v>
      </c>
    </row>
    <row r="40" spans="2:4" hidden="1" x14ac:dyDescent="0.25">
      <c r="B40" s="74" t="s">
        <v>73</v>
      </c>
      <c r="C40" s="73" t="s">
        <v>74</v>
      </c>
      <c r="D40" s="147" t="s">
        <v>70</v>
      </c>
    </row>
    <row r="41" spans="2:4" hidden="1" x14ac:dyDescent="0.25">
      <c r="B41" s="74" t="s">
        <v>75</v>
      </c>
      <c r="C41" s="73" t="s">
        <v>76</v>
      </c>
      <c r="D41" s="147" t="s">
        <v>59</v>
      </c>
    </row>
    <row r="42" spans="2:4" hidden="1" x14ac:dyDescent="0.25">
      <c r="B42" s="74" t="s">
        <v>77</v>
      </c>
      <c r="C42" s="73" t="s">
        <v>78</v>
      </c>
      <c r="D42" s="141" t="s">
        <v>70</v>
      </c>
    </row>
    <row r="43" spans="2:4" hidden="1" x14ac:dyDescent="0.25">
      <c r="B43" s="74" t="s">
        <v>79</v>
      </c>
      <c r="C43" s="73" t="s">
        <v>80</v>
      </c>
      <c r="D43" s="147" t="s">
        <v>59</v>
      </c>
    </row>
    <row r="44" spans="2:4" hidden="1" x14ac:dyDescent="0.25">
      <c r="B44" s="74" t="s">
        <v>81</v>
      </c>
      <c r="C44" s="73" t="s">
        <v>82</v>
      </c>
      <c r="D44" s="141" t="s">
        <v>59</v>
      </c>
    </row>
    <row r="45" spans="2:4" hidden="1" x14ac:dyDescent="0.25">
      <c r="B45" s="74" t="s">
        <v>83</v>
      </c>
      <c r="C45" s="73" t="s">
        <v>84</v>
      </c>
      <c r="D45" s="141" t="s">
        <v>59</v>
      </c>
    </row>
    <row r="46" spans="2:4" hidden="1" x14ac:dyDescent="0.25">
      <c r="B46" s="74" t="s">
        <v>85</v>
      </c>
      <c r="C46" s="73" t="s">
        <v>86</v>
      </c>
      <c r="D46" s="141" t="s">
        <v>59</v>
      </c>
    </row>
    <row r="47" spans="2:4" hidden="1" x14ac:dyDescent="0.25">
      <c r="B47" s="74" t="s">
        <v>87</v>
      </c>
      <c r="C47" s="73" t="s">
        <v>88</v>
      </c>
      <c r="D47" s="147" t="s">
        <v>59</v>
      </c>
    </row>
    <row r="48" spans="2:4" hidden="1" x14ac:dyDescent="0.25">
      <c r="B48" s="74" t="s">
        <v>89</v>
      </c>
      <c r="C48" s="73" t="s">
        <v>90</v>
      </c>
      <c r="D48" s="141" t="s">
        <v>59</v>
      </c>
    </row>
    <row r="49" spans="2:4" hidden="1" x14ac:dyDescent="0.25">
      <c r="B49" s="74" t="s">
        <v>91</v>
      </c>
      <c r="C49" s="73" t="s">
        <v>92</v>
      </c>
      <c r="D49" s="141" t="s">
        <v>59</v>
      </c>
    </row>
    <row r="50" spans="2:4" hidden="1" x14ac:dyDescent="0.25">
      <c r="B50" s="74" t="s">
        <v>93</v>
      </c>
      <c r="C50" s="73" t="s">
        <v>94</v>
      </c>
      <c r="D50" s="141" t="s">
        <v>59</v>
      </c>
    </row>
    <row r="51" spans="2:4" hidden="1" x14ac:dyDescent="0.25">
      <c r="B51" s="74" t="s">
        <v>95</v>
      </c>
      <c r="C51" s="73" t="s">
        <v>96</v>
      </c>
      <c r="D51" s="141" t="s">
        <v>59</v>
      </c>
    </row>
    <row r="52" spans="2:4" hidden="1" x14ac:dyDescent="0.25">
      <c r="B52" s="74" t="s">
        <v>97</v>
      </c>
      <c r="C52" s="73" t="s">
        <v>98</v>
      </c>
      <c r="D52" s="141" t="s">
        <v>59</v>
      </c>
    </row>
    <row r="53" spans="2:4" hidden="1" x14ac:dyDescent="0.25">
      <c r="B53" s="74" t="s">
        <v>99</v>
      </c>
      <c r="C53" s="73" t="s">
        <v>100</v>
      </c>
      <c r="D53" s="141" t="s">
        <v>59</v>
      </c>
    </row>
    <row r="54" spans="2:4" hidden="1" x14ac:dyDescent="0.25">
      <c r="B54" s="74" t="s">
        <v>101</v>
      </c>
      <c r="C54" s="73" t="s">
        <v>102</v>
      </c>
      <c r="D54" s="141" t="s">
        <v>70</v>
      </c>
    </row>
    <row r="55" spans="2:4" hidden="1" x14ac:dyDescent="0.25">
      <c r="B55" s="74" t="s">
        <v>103</v>
      </c>
      <c r="C55" s="73" t="s">
        <v>1412</v>
      </c>
      <c r="D55" s="141" t="s">
        <v>59</v>
      </c>
    </row>
    <row r="56" spans="2:4" hidden="1" x14ac:dyDescent="0.25">
      <c r="B56" s="74" t="s">
        <v>104</v>
      </c>
      <c r="C56" s="73" t="s">
        <v>105</v>
      </c>
      <c r="D56" s="141" t="s">
        <v>70</v>
      </c>
    </row>
    <row r="57" spans="2:4" hidden="1" x14ac:dyDescent="0.25">
      <c r="B57" s="74" t="s">
        <v>106</v>
      </c>
      <c r="C57" s="73" t="s">
        <v>107</v>
      </c>
      <c r="D57" s="147" t="s">
        <v>59</v>
      </c>
    </row>
    <row r="58" spans="2:4" hidden="1" x14ac:dyDescent="0.25">
      <c r="B58" s="74" t="s">
        <v>108</v>
      </c>
      <c r="C58" s="73" t="s">
        <v>109</v>
      </c>
      <c r="D58" s="141" t="s">
        <v>59</v>
      </c>
    </row>
    <row r="59" spans="2:4" hidden="1" x14ac:dyDescent="0.25">
      <c r="B59" s="74" t="s">
        <v>110</v>
      </c>
      <c r="C59" s="73" t="s">
        <v>1413</v>
      </c>
      <c r="D59" s="141" t="s">
        <v>59</v>
      </c>
    </row>
    <row r="60" spans="2:4" hidden="1" x14ac:dyDescent="0.25">
      <c r="B60" s="74" t="s">
        <v>111</v>
      </c>
      <c r="C60" s="73" t="s">
        <v>112</v>
      </c>
      <c r="D60" s="147" t="s">
        <v>59</v>
      </c>
    </row>
    <row r="61" spans="2:4" hidden="1" x14ac:dyDescent="0.25">
      <c r="B61" s="74" t="s">
        <v>113</v>
      </c>
      <c r="C61" s="73" t="s">
        <v>114</v>
      </c>
      <c r="D61" s="141" t="s">
        <v>59</v>
      </c>
    </row>
    <row r="62" spans="2:4" hidden="1" x14ac:dyDescent="0.25">
      <c r="B62" s="74" t="s">
        <v>115</v>
      </c>
      <c r="C62" s="73" t="s">
        <v>116</v>
      </c>
      <c r="D62" s="141" t="s">
        <v>59</v>
      </c>
    </row>
    <row r="63" spans="2:4" hidden="1" x14ac:dyDescent="0.25">
      <c r="B63" s="74" t="s">
        <v>117</v>
      </c>
      <c r="C63" s="73" t="s">
        <v>118</v>
      </c>
      <c r="D63" s="141" t="s">
        <v>59</v>
      </c>
    </row>
    <row r="64" spans="2:4" hidden="1" x14ac:dyDescent="0.25">
      <c r="B64" s="74" t="s">
        <v>119</v>
      </c>
      <c r="C64" s="73" t="s">
        <v>120</v>
      </c>
      <c r="D64" s="141" t="s">
        <v>70</v>
      </c>
    </row>
    <row r="65" spans="2:4" hidden="1" x14ac:dyDescent="0.25">
      <c r="B65" s="74" t="s">
        <v>121</v>
      </c>
      <c r="C65" s="73" t="s">
        <v>122</v>
      </c>
      <c r="D65" s="141" t="s">
        <v>59</v>
      </c>
    </row>
    <row r="66" spans="2:4" hidden="1" x14ac:dyDescent="0.25">
      <c r="B66" s="74" t="s">
        <v>123</v>
      </c>
      <c r="C66" s="73" t="s">
        <v>124</v>
      </c>
      <c r="D66" s="141" t="s">
        <v>59</v>
      </c>
    </row>
    <row r="67" spans="2:4" hidden="1" x14ac:dyDescent="0.25">
      <c r="B67" s="74" t="s">
        <v>125</v>
      </c>
      <c r="C67" s="73" t="s">
        <v>126</v>
      </c>
      <c r="D67" s="141" t="s">
        <v>59</v>
      </c>
    </row>
    <row r="68" spans="2:4" hidden="1" x14ac:dyDescent="0.25">
      <c r="B68" s="74" t="s">
        <v>127</v>
      </c>
      <c r="C68" s="73" t="s">
        <v>128</v>
      </c>
      <c r="D68" s="141" t="s">
        <v>70</v>
      </c>
    </row>
    <row r="69" spans="2:4" hidden="1" x14ac:dyDescent="0.25">
      <c r="B69" s="74" t="s">
        <v>129</v>
      </c>
      <c r="C69" s="73" t="s">
        <v>130</v>
      </c>
      <c r="D69" s="147" t="s">
        <v>70</v>
      </c>
    </row>
    <row r="70" spans="2:4" hidden="1" x14ac:dyDescent="0.25">
      <c r="B70" s="74" t="s">
        <v>131</v>
      </c>
      <c r="C70" s="73" t="s">
        <v>132</v>
      </c>
      <c r="D70" s="141" t="s">
        <v>70</v>
      </c>
    </row>
    <row r="71" spans="2:4" hidden="1" x14ac:dyDescent="0.25">
      <c r="B71" s="74" t="s">
        <v>133</v>
      </c>
      <c r="C71" s="73" t="s">
        <v>134</v>
      </c>
      <c r="D71" s="141" t="s">
        <v>59</v>
      </c>
    </row>
    <row r="72" spans="2:4" hidden="1" x14ac:dyDescent="0.25">
      <c r="B72" s="74" t="s">
        <v>135</v>
      </c>
      <c r="C72" s="73" t="s">
        <v>136</v>
      </c>
      <c r="D72" s="141" t="s">
        <v>59</v>
      </c>
    </row>
    <row r="73" spans="2:4" hidden="1" x14ac:dyDescent="0.25">
      <c r="B73" s="74" t="s">
        <v>137</v>
      </c>
      <c r="C73" s="73" t="s">
        <v>138</v>
      </c>
      <c r="D73" s="147" t="s">
        <v>59</v>
      </c>
    </row>
    <row r="74" spans="2:4" hidden="1" x14ac:dyDescent="0.25">
      <c r="B74" s="74" t="s">
        <v>139</v>
      </c>
      <c r="C74" s="73" t="s">
        <v>140</v>
      </c>
      <c r="D74" s="147" t="s">
        <v>70</v>
      </c>
    </row>
    <row r="75" spans="2:4" hidden="1" x14ac:dyDescent="0.25">
      <c r="B75" s="74" t="s">
        <v>141</v>
      </c>
      <c r="C75" s="73" t="s">
        <v>142</v>
      </c>
      <c r="D75" s="147" t="s">
        <v>59</v>
      </c>
    </row>
    <row r="76" spans="2:4" hidden="1" x14ac:dyDescent="0.25">
      <c r="B76" s="71" t="s">
        <v>143</v>
      </c>
      <c r="C76" s="73" t="s">
        <v>144</v>
      </c>
      <c r="D76" s="72" t="s">
        <v>59</v>
      </c>
    </row>
    <row r="77" spans="2:4" hidden="1" x14ac:dyDescent="0.25">
      <c r="B77" s="74" t="s">
        <v>145</v>
      </c>
      <c r="C77" s="73" t="s">
        <v>146</v>
      </c>
      <c r="D77" s="141" t="s">
        <v>59</v>
      </c>
    </row>
    <row r="78" spans="2:4" hidden="1" x14ac:dyDescent="0.25">
      <c r="B78" s="74" t="s">
        <v>147</v>
      </c>
      <c r="C78" s="73" t="s">
        <v>148</v>
      </c>
      <c r="D78" s="141" t="s">
        <v>70</v>
      </c>
    </row>
    <row r="79" spans="2:4" hidden="1" x14ac:dyDescent="0.25">
      <c r="B79" s="74" t="s">
        <v>149</v>
      </c>
      <c r="C79" s="73" t="s">
        <v>1414</v>
      </c>
      <c r="D79" s="147" t="s">
        <v>59</v>
      </c>
    </row>
    <row r="80" spans="2:4" hidden="1" x14ac:dyDescent="0.25">
      <c r="B80" s="74" t="s">
        <v>150</v>
      </c>
      <c r="C80" s="73" t="s">
        <v>151</v>
      </c>
      <c r="D80" s="141" t="s">
        <v>59</v>
      </c>
    </row>
    <row r="81" spans="2:4" hidden="1" x14ac:dyDescent="0.25">
      <c r="B81" s="74" t="s">
        <v>152</v>
      </c>
      <c r="C81" s="73" t="s">
        <v>153</v>
      </c>
      <c r="D81" s="141" t="s">
        <v>59</v>
      </c>
    </row>
    <row r="82" spans="2:4" hidden="1" x14ac:dyDescent="0.25">
      <c r="B82" s="74" t="s">
        <v>154</v>
      </c>
      <c r="C82" s="73" t="s">
        <v>155</v>
      </c>
      <c r="D82" s="141" t="s">
        <v>59</v>
      </c>
    </row>
    <row r="83" spans="2:4" hidden="1" x14ac:dyDescent="0.25">
      <c r="B83" s="74" t="s">
        <v>156</v>
      </c>
      <c r="C83" s="73" t="s">
        <v>157</v>
      </c>
      <c r="D83" s="147" t="s">
        <v>59</v>
      </c>
    </row>
    <row r="84" spans="2:4" hidden="1" x14ac:dyDescent="0.25">
      <c r="B84" s="74" t="s">
        <v>158</v>
      </c>
      <c r="C84" s="73" t="s">
        <v>159</v>
      </c>
      <c r="D84" s="141" t="s">
        <v>70</v>
      </c>
    </row>
    <row r="85" spans="2:4" hidden="1" x14ac:dyDescent="0.25">
      <c r="B85" s="74" t="s">
        <v>160</v>
      </c>
      <c r="C85" s="73" t="s">
        <v>161</v>
      </c>
      <c r="D85" s="141" t="s">
        <v>70</v>
      </c>
    </row>
    <row r="86" spans="2:4" hidden="1" x14ac:dyDescent="0.25">
      <c r="B86" s="74" t="s">
        <v>162</v>
      </c>
      <c r="C86" s="73" t="s">
        <v>163</v>
      </c>
      <c r="D86" s="141" t="s">
        <v>70</v>
      </c>
    </row>
    <row r="87" spans="2:4" hidden="1" x14ac:dyDescent="0.25">
      <c r="B87" s="74" t="s">
        <v>164</v>
      </c>
      <c r="C87" s="73" t="s">
        <v>165</v>
      </c>
      <c r="D87" s="141" t="s">
        <v>59</v>
      </c>
    </row>
    <row r="88" spans="2:4" hidden="1" x14ac:dyDescent="0.25">
      <c r="B88" s="74" t="s">
        <v>166</v>
      </c>
      <c r="C88" s="73" t="s">
        <v>167</v>
      </c>
      <c r="D88" s="147" t="s">
        <v>70</v>
      </c>
    </row>
    <row r="89" spans="2:4" hidden="1" x14ac:dyDescent="0.25">
      <c r="B89" s="74" t="s">
        <v>168</v>
      </c>
      <c r="C89" s="73" t="s">
        <v>169</v>
      </c>
      <c r="D89" s="147" t="s">
        <v>59</v>
      </c>
    </row>
    <row r="90" spans="2:4" hidden="1" x14ac:dyDescent="0.25">
      <c r="B90" s="74" t="s">
        <v>170</v>
      </c>
      <c r="C90" s="73" t="s">
        <v>171</v>
      </c>
      <c r="D90" s="147" t="s">
        <v>70</v>
      </c>
    </row>
    <row r="91" spans="2:4" hidden="1" x14ac:dyDescent="0.25">
      <c r="B91" s="74" t="s">
        <v>172</v>
      </c>
      <c r="C91" s="73" t="s">
        <v>173</v>
      </c>
      <c r="D91" s="141" t="s">
        <v>70</v>
      </c>
    </row>
    <row r="92" spans="2:4" hidden="1" x14ac:dyDescent="0.25">
      <c r="B92" s="74" t="s">
        <v>174</v>
      </c>
      <c r="C92" s="73" t="s">
        <v>175</v>
      </c>
      <c r="D92" s="147" t="s">
        <v>70</v>
      </c>
    </row>
    <row r="93" spans="2:4" hidden="1" x14ac:dyDescent="0.25">
      <c r="B93" s="74" t="s">
        <v>176</v>
      </c>
      <c r="C93" s="73" t="s">
        <v>177</v>
      </c>
      <c r="D93" s="141" t="s">
        <v>70</v>
      </c>
    </row>
    <row r="94" spans="2:4" hidden="1" x14ac:dyDescent="0.25">
      <c r="B94" s="74" t="s">
        <v>178</v>
      </c>
      <c r="C94" s="73" t="s">
        <v>179</v>
      </c>
      <c r="D94" s="147" t="s">
        <v>59</v>
      </c>
    </row>
    <row r="95" spans="2:4" hidden="1" x14ac:dyDescent="0.25">
      <c r="B95" s="74" t="s">
        <v>180</v>
      </c>
      <c r="C95" s="73" t="s">
        <v>181</v>
      </c>
      <c r="D95" s="147" t="s">
        <v>59</v>
      </c>
    </row>
    <row r="96" spans="2:4" hidden="1" x14ac:dyDescent="0.25">
      <c r="B96" s="74" t="s">
        <v>182</v>
      </c>
      <c r="C96" s="73" t="s">
        <v>183</v>
      </c>
      <c r="D96" s="147" t="s">
        <v>59</v>
      </c>
    </row>
    <row r="97" spans="2:4" hidden="1" x14ac:dyDescent="0.25">
      <c r="B97" s="74" t="s">
        <v>184</v>
      </c>
      <c r="C97" s="73" t="s">
        <v>185</v>
      </c>
      <c r="D97" s="147" t="s">
        <v>70</v>
      </c>
    </row>
    <row r="98" spans="2:4" hidden="1" x14ac:dyDescent="0.25">
      <c r="B98" s="74" t="s">
        <v>186</v>
      </c>
      <c r="C98" s="73" t="s">
        <v>187</v>
      </c>
      <c r="D98" s="141" t="s">
        <v>59</v>
      </c>
    </row>
    <row r="99" spans="2:4" hidden="1" x14ac:dyDescent="0.25">
      <c r="B99" s="74" t="s">
        <v>188</v>
      </c>
      <c r="C99" s="73" t="s">
        <v>189</v>
      </c>
      <c r="D99" s="141" t="s">
        <v>59</v>
      </c>
    </row>
    <row r="100" spans="2:4" hidden="1" x14ac:dyDescent="0.25">
      <c r="B100" s="74" t="s">
        <v>190</v>
      </c>
      <c r="C100" s="73" t="s">
        <v>191</v>
      </c>
      <c r="D100" s="141" t="s">
        <v>59</v>
      </c>
    </row>
    <row r="101" spans="2:4" hidden="1" x14ac:dyDescent="0.25">
      <c r="B101" s="74" t="s">
        <v>192</v>
      </c>
      <c r="C101" s="73" t="s">
        <v>193</v>
      </c>
      <c r="D101" s="147" t="s">
        <v>59</v>
      </c>
    </row>
    <row r="102" spans="2:4" hidden="1" x14ac:dyDescent="0.25">
      <c r="B102" s="74" t="s">
        <v>194</v>
      </c>
      <c r="C102" s="73" t="s">
        <v>1415</v>
      </c>
      <c r="D102" s="147" t="s">
        <v>59</v>
      </c>
    </row>
    <row r="103" spans="2:4" hidden="1" x14ac:dyDescent="0.25">
      <c r="B103" s="71" t="s">
        <v>195</v>
      </c>
      <c r="C103" s="73" t="s">
        <v>196</v>
      </c>
      <c r="D103" s="72" t="s">
        <v>59</v>
      </c>
    </row>
    <row r="104" spans="2:4" hidden="1" x14ac:dyDescent="0.25">
      <c r="B104" s="74" t="s">
        <v>197</v>
      </c>
      <c r="C104" s="73" t="s">
        <v>1530</v>
      </c>
      <c r="D104" s="141" t="s">
        <v>59</v>
      </c>
    </row>
    <row r="105" spans="2:4" hidden="1" x14ac:dyDescent="0.25">
      <c r="B105" s="74" t="s">
        <v>198</v>
      </c>
      <c r="C105" s="73" t="s">
        <v>199</v>
      </c>
      <c r="D105" s="141" t="s">
        <v>59</v>
      </c>
    </row>
    <row r="106" spans="2:4" hidden="1" x14ac:dyDescent="0.25">
      <c r="B106" s="74" t="s">
        <v>200</v>
      </c>
      <c r="C106" s="73" t="s">
        <v>201</v>
      </c>
      <c r="D106" s="141" t="s">
        <v>70</v>
      </c>
    </row>
    <row r="107" spans="2:4" hidden="1" x14ac:dyDescent="0.25">
      <c r="B107" s="74" t="s">
        <v>202</v>
      </c>
      <c r="C107" s="73" t="s">
        <v>203</v>
      </c>
      <c r="D107" s="141" t="s">
        <v>59</v>
      </c>
    </row>
    <row r="108" spans="2:4" hidden="1" x14ac:dyDescent="0.25">
      <c r="B108" s="74" t="s">
        <v>204</v>
      </c>
      <c r="C108" s="73" t="s">
        <v>205</v>
      </c>
      <c r="D108" s="141" t="s">
        <v>59</v>
      </c>
    </row>
    <row r="109" spans="2:4" hidden="1" x14ac:dyDescent="0.25">
      <c r="B109" s="74" t="s">
        <v>206</v>
      </c>
      <c r="C109" s="73" t="s">
        <v>1416</v>
      </c>
      <c r="D109" s="141" t="s">
        <v>59</v>
      </c>
    </row>
    <row r="110" spans="2:4" hidden="1" x14ac:dyDescent="0.25">
      <c r="B110" s="74" t="s">
        <v>207</v>
      </c>
      <c r="C110" s="73" t="s">
        <v>208</v>
      </c>
      <c r="D110" s="141" t="s">
        <v>70</v>
      </c>
    </row>
    <row r="111" spans="2:4" hidden="1" x14ac:dyDescent="0.25">
      <c r="B111" s="74" t="s">
        <v>209</v>
      </c>
      <c r="C111" s="73" t="s">
        <v>210</v>
      </c>
      <c r="D111" s="147" t="s">
        <v>70</v>
      </c>
    </row>
    <row r="112" spans="2:4" hidden="1" x14ac:dyDescent="0.25">
      <c r="B112" s="74" t="s">
        <v>211</v>
      </c>
      <c r="C112" s="73" t="s">
        <v>212</v>
      </c>
      <c r="D112" s="141" t="s">
        <v>59</v>
      </c>
    </row>
    <row r="113" spans="2:4" hidden="1" x14ac:dyDescent="0.25">
      <c r="B113" s="74" t="s">
        <v>213</v>
      </c>
      <c r="C113" s="73" t="s">
        <v>214</v>
      </c>
      <c r="D113" s="141" t="s">
        <v>70</v>
      </c>
    </row>
    <row r="114" spans="2:4" hidden="1" x14ac:dyDescent="0.25">
      <c r="B114" s="74" t="s">
        <v>215</v>
      </c>
      <c r="C114" s="73" t="s">
        <v>216</v>
      </c>
      <c r="D114" s="141" t="s">
        <v>70</v>
      </c>
    </row>
    <row r="115" spans="2:4" hidden="1" x14ac:dyDescent="0.25">
      <c r="B115" s="74" t="s">
        <v>217</v>
      </c>
      <c r="C115" s="73" t="s">
        <v>218</v>
      </c>
      <c r="D115" s="147" t="s">
        <v>59</v>
      </c>
    </row>
    <row r="116" spans="2:4" hidden="1" x14ac:dyDescent="0.25">
      <c r="B116" s="74" t="s">
        <v>219</v>
      </c>
      <c r="C116" s="73" t="s">
        <v>220</v>
      </c>
      <c r="D116" s="147" t="s">
        <v>59</v>
      </c>
    </row>
    <row r="117" spans="2:4" hidden="1" x14ac:dyDescent="0.25">
      <c r="B117" s="74" t="s">
        <v>221</v>
      </c>
      <c r="C117" s="73" t="s">
        <v>222</v>
      </c>
      <c r="D117" s="141" t="s">
        <v>70</v>
      </c>
    </row>
    <row r="118" spans="2:4" hidden="1" x14ac:dyDescent="0.25">
      <c r="B118" s="74" t="s">
        <v>223</v>
      </c>
      <c r="C118" s="73" t="s">
        <v>224</v>
      </c>
      <c r="D118" s="147" t="s">
        <v>59</v>
      </c>
    </row>
    <row r="119" spans="2:4" hidden="1" x14ac:dyDescent="0.25">
      <c r="B119" s="74" t="s">
        <v>225</v>
      </c>
      <c r="C119" s="73" t="s">
        <v>1417</v>
      </c>
      <c r="D119" s="147" t="s">
        <v>59</v>
      </c>
    </row>
    <row r="120" spans="2:4" hidden="1" x14ac:dyDescent="0.25">
      <c r="B120" s="74" t="s">
        <v>226</v>
      </c>
      <c r="C120" s="73" t="s">
        <v>1418</v>
      </c>
      <c r="D120" s="141" t="s">
        <v>59</v>
      </c>
    </row>
    <row r="121" spans="2:4" hidden="1" x14ac:dyDescent="0.25">
      <c r="B121" s="74" t="s">
        <v>227</v>
      </c>
      <c r="C121" s="73" t="s">
        <v>1531</v>
      </c>
      <c r="D121" s="141" t="s">
        <v>59</v>
      </c>
    </row>
    <row r="122" spans="2:4" hidden="1" x14ac:dyDescent="0.25">
      <c r="B122" s="74" t="s">
        <v>228</v>
      </c>
      <c r="C122" s="73" t="s">
        <v>229</v>
      </c>
      <c r="D122" s="147" t="s">
        <v>59</v>
      </c>
    </row>
    <row r="123" spans="2:4" hidden="1" x14ac:dyDescent="0.25">
      <c r="B123" s="74" t="s">
        <v>230</v>
      </c>
      <c r="C123" s="73" t="s">
        <v>231</v>
      </c>
      <c r="D123" s="141" t="s">
        <v>59</v>
      </c>
    </row>
    <row r="124" spans="2:4" hidden="1" x14ac:dyDescent="0.25">
      <c r="B124" s="74" t="s">
        <v>232</v>
      </c>
      <c r="C124" s="73" t="s">
        <v>233</v>
      </c>
      <c r="D124" s="141" t="s">
        <v>59</v>
      </c>
    </row>
    <row r="125" spans="2:4" hidden="1" x14ac:dyDescent="0.25">
      <c r="B125" s="74" t="s">
        <v>234</v>
      </c>
      <c r="C125" s="73" t="s">
        <v>235</v>
      </c>
      <c r="D125" s="141" t="s">
        <v>70</v>
      </c>
    </row>
    <row r="126" spans="2:4" hidden="1" x14ac:dyDescent="0.25">
      <c r="B126" s="74" t="s">
        <v>236</v>
      </c>
      <c r="C126" s="73" t="s">
        <v>1419</v>
      </c>
      <c r="D126" s="141" t="s">
        <v>70</v>
      </c>
    </row>
    <row r="127" spans="2:4" hidden="1" x14ac:dyDescent="0.25">
      <c r="B127" s="74" t="s">
        <v>237</v>
      </c>
      <c r="C127" s="73" t="s">
        <v>238</v>
      </c>
      <c r="D127" s="141" t="s">
        <v>70</v>
      </c>
    </row>
    <row r="128" spans="2:4" hidden="1" x14ac:dyDescent="0.25">
      <c r="B128" s="74" t="s">
        <v>239</v>
      </c>
      <c r="C128" s="73" t="s">
        <v>240</v>
      </c>
      <c r="D128" s="141" t="s">
        <v>70</v>
      </c>
    </row>
    <row r="129" spans="2:4" hidden="1" x14ac:dyDescent="0.25">
      <c r="B129" s="74" t="s">
        <v>241</v>
      </c>
      <c r="C129" s="73" t="s">
        <v>242</v>
      </c>
      <c r="D129" s="141" t="s">
        <v>70</v>
      </c>
    </row>
    <row r="130" spans="2:4" hidden="1" x14ac:dyDescent="0.25">
      <c r="B130" s="74" t="s">
        <v>243</v>
      </c>
      <c r="C130" s="73" t="s">
        <v>244</v>
      </c>
      <c r="D130" s="147" t="s">
        <v>70</v>
      </c>
    </row>
    <row r="131" spans="2:4" hidden="1" x14ac:dyDescent="0.25">
      <c r="B131" s="74" t="s">
        <v>245</v>
      </c>
      <c r="C131" s="73" t="s">
        <v>246</v>
      </c>
      <c r="D131" s="147" t="s">
        <v>59</v>
      </c>
    </row>
    <row r="132" spans="2:4" hidden="1" x14ac:dyDescent="0.25">
      <c r="B132" s="74" t="s">
        <v>247</v>
      </c>
      <c r="C132" s="73" t="s">
        <v>248</v>
      </c>
      <c r="D132" s="147" t="s">
        <v>59</v>
      </c>
    </row>
    <row r="133" spans="2:4" hidden="1" x14ac:dyDescent="0.25">
      <c r="B133" s="74" t="s">
        <v>249</v>
      </c>
      <c r="C133" s="73" t="s">
        <v>250</v>
      </c>
      <c r="D133" s="147" t="s">
        <v>59</v>
      </c>
    </row>
    <row r="134" spans="2:4" hidden="1" x14ac:dyDescent="0.25">
      <c r="B134" s="74" t="s">
        <v>251</v>
      </c>
      <c r="C134" s="73" t="s">
        <v>252</v>
      </c>
      <c r="D134" s="147" t="s">
        <v>70</v>
      </c>
    </row>
    <row r="135" spans="2:4" hidden="1" x14ac:dyDescent="0.25">
      <c r="B135" s="74" t="s">
        <v>253</v>
      </c>
      <c r="C135" s="73" t="s">
        <v>254</v>
      </c>
      <c r="D135" s="147" t="s">
        <v>59</v>
      </c>
    </row>
    <row r="136" spans="2:4" hidden="1" x14ac:dyDescent="0.25">
      <c r="B136" s="74" t="s">
        <v>255</v>
      </c>
      <c r="C136" s="73" t="s">
        <v>1420</v>
      </c>
      <c r="D136" s="141" t="s">
        <v>70</v>
      </c>
    </row>
    <row r="137" spans="2:4" hidden="1" x14ac:dyDescent="0.25">
      <c r="B137" s="74" t="s">
        <v>256</v>
      </c>
      <c r="C137" s="73" t="s">
        <v>257</v>
      </c>
      <c r="D137" s="141" t="s">
        <v>59</v>
      </c>
    </row>
    <row r="138" spans="2:4" hidden="1" x14ac:dyDescent="0.25">
      <c r="B138" s="74" t="s">
        <v>258</v>
      </c>
      <c r="C138" s="73" t="s">
        <v>259</v>
      </c>
      <c r="D138" s="141" t="s">
        <v>59</v>
      </c>
    </row>
    <row r="139" spans="2:4" hidden="1" x14ac:dyDescent="0.25">
      <c r="B139" s="74" t="s">
        <v>260</v>
      </c>
      <c r="C139" s="73" t="s">
        <v>1421</v>
      </c>
      <c r="D139" s="147" t="s">
        <v>59</v>
      </c>
    </row>
    <row r="140" spans="2:4" hidden="1" x14ac:dyDescent="0.25">
      <c r="B140" s="74" t="s">
        <v>261</v>
      </c>
      <c r="C140" s="73" t="s">
        <v>262</v>
      </c>
      <c r="D140" s="141" t="s">
        <v>59</v>
      </c>
    </row>
    <row r="141" spans="2:4" hidden="1" x14ac:dyDescent="0.25">
      <c r="B141" s="74" t="s">
        <v>263</v>
      </c>
      <c r="C141" s="73" t="s">
        <v>1444</v>
      </c>
      <c r="D141" s="147" t="s">
        <v>70</v>
      </c>
    </row>
    <row r="142" spans="2:4" hidden="1" x14ac:dyDescent="0.25">
      <c r="B142" s="74" t="s">
        <v>264</v>
      </c>
      <c r="C142" s="73" t="s">
        <v>265</v>
      </c>
      <c r="D142" s="141" t="s">
        <v>59</v>
      </c>
    </row>
    <row r="143" spans="2:4" hidden="1" x14ac:dyDescent="0.25">
      <c r="B143" s="74" t="s">
        <v>266</v>
      </c>
      <c r="C143" s="73" t="s">
        <v>267</v>
      </c>
      <c r="D143" s="141" t="s">
        <v>59</v>
      </c>
    </row>
    <row r="144" spans="2:4" hidden="1" x14ac:dyDescent="0.25">
      <c r="B144" s="74" t="s">
        <v>268</v>
      </c>
      <c r="C144" s="73" t="s">
        <v>269</v>
      </c>
      <c r="D144" s="141" t="s">
        <v>59</v>
      </c>
    </row>
    <row r="145" spans="2:4" hidden="1" x14ac:dyDescent="0.25">
      <c r="B145" s="74" t="s">
        <v>270</v>
      </c>
      <c r="C145" s="73" t="s">
        <v>271</v>
      </c>
      <c r="D145" s="141" t="s">
        <v>59</v>
      </c>
    </row>
    <row r="146" spans="2:4" hidden="1" x14ac:dyDescent="0.25">
      <c r="B146" s="74" t="s">
        <v>272</v>
      </c>
      <c r="C146" s="73" t="s">
        <v>273</v>
      </c>
      <c r="D146" s="147" t="s">
        <v>59</v>
      </c>
    </row>
    <row r="147" spans="2:4" hidden="1" x14ac:dyDescent="0.25">
      <c r="B147" s="74" t="s">
        <v>274</v>
      </c>
      <c r="C147" s="73" t="s">
        <v>275</v>
      </c>
      <c r="D147" s="147" t="s">
        <v>59</v>
      </c>
    </row>
    <row r="148" spans="2:4" hidden="1" x14ac:dyDescent="0.25">
      <c r="B148" s="74" t="s">
        <v>276</v>
      </c>
      <c r="C148" s="73" t="s">
        <v>277</v>
      </c>
      <c r="D148" s="141" t="s">
        <v>70</v>
      </c>
    </row>
    <row r="149" spans="2:4" hidden="1" x14ac:dyDescent="0.25">
      <c r="B149" s="74" t="s">
        <v>278</v>
      </c>
      <c r="C149" s="73" t="s">
        <v>279</v>
      </c>
      <c r="D149" s="141" t="s">
        <v>70</v>
      </c>
    </row>
    <row r="150" spans="2:4" hidden="1" x14ac:dyDescent="0.25">
      <c r="B150" s="74" t="s">
        <v>280</v>
      </c>
      <c r="C150" s="73" t="s">
        <v>281</v>
      </c>
      <c r="D150" s="141" t="s">
        <v>70</v>
      </c>
    </row>
    <row r="151" spans="2:4" hidden="1" x14ac:dyDescent="0.25">
      <c r="B151" s="74" t="s">
        <v>282</v>
      </c>
      <c r="C151" s="73" t="s">
        <v>283</v>
      </c>
      <c r="D151" s="141" t="s">
        <v>59</v>
      </c>
    </row>
    <row r="152" spans="2:4" hidden="1" x14ac:dyDescent="0.25">
      <c r="B152" s="74" t="s">
        <v>284</v>
      </c>
      <c r="C152" s="73" t="s">
        <v>285</v>
      </c>
      <c r="D152" s="141" t="s">
        <v>70</v>
      </c>
    </row>
    <row r="153" spans="2:4" hidden="1" x14ac:dyDescent="0.25">
      <c r="B153" s="74" t="s">
        <v>286</v>
      </c>
      <c r="C153" s="73" t="s">
        <v>287</v>
      </c>
      <c r="D153" s="141" t="s">
        <v>59</v>
      </c>
    </row>
    <row r="154" spans="2:4" hidden="1" x14ac:dyDescent="0.25">
      <c r="B154" s="74" t="s">
        <v>1532</v>
      </c>
      <c r="C154" s="73" t="s">
        <v>1533</v>
      </c>
      <c r="D154" s="147" t="s">
        <v>59</v>
      </c>
    </row>
    <row r="155" spans="2:4" hidden="1" x14ac:dyDescent="0.25">
      <c r="B155" s="74" t="s">
        <v>288</v>
      </c>
      <c r="C155" s="73" t="s">
        <v>289</v>
      </c>
      <c r="D155" s="147" t="s">
        <v>70</v>
      </c>
    </row>
    <row r="156" spans="2:4" hidden="1" x14ac:dyDescent="0.25">
      <c r="B156" s="74" t="s">
        <v>290</v>
      </c>
      <c r="C156" s="73" t="s">
        <v>291</v>
      </c>
      <c r="D156" s="147" t="s">
        <v>70</v>
      </c>
    </row>
    <row r="157" spans="2:4" hidden="1" x14ac:dyDescent="0.25">
      <c r="B157" s="74" t="s">
        <v>292</v>
      </c>
      <c r="C157" s="73" t="s">
        <v>293</v>
      </c>
      <c r="D157" s="147" t="s">
        <v>59</v>
      </c>
    </row>
    <row r="158" spans="2:4" hidden="1" x14ac:dyDescent="0.25">
      <c r="B158" s="74" t="s">
        <v>294</v>
      </c>
      <c r="C158" s="73" t="s">
        <v>295</v>
      </c>
      <c r="D158" s="141" t="s">
        <v>59</v>
      </c>
    </row>
    <row r="159" spans="2:4" hidden="1" x14ac:dyDescent="0.25">
      <c r="B159" s="74" t="s">
        <v>296</v>
      </c>
      <c r="C159" s="73" t="s">
        <v>297</v>
      </c>
      <c r="D159" s="147" t="s">
        <v>59</v>
      </c>
    </row>
    <row r="160" spans="2:4" hidden="1" x14ac:dyDescent="0.25">
      <c r="B160" s="74" t="s">
        <v>298</v>
      </c>
      <c r="C160" s="73" t="s">
        <v>299</v>
      </c>
      <c r="D160" s="147" t="s">
        <v>59</v>
      </c>
    </row>
    <row r="161" spans="2:4" hidden="1" x14ac:dyDescent="0.25">
      <c r="B161" s="74" t="s">
        <v>300</v>
      </c>
      <c r="C161" s="73" t="s">
        <v>301</v>
      </c>
      <c r="D161" s="147" t="s">
        <v>59</v>
      </c>
    </row>
    <row r="162" spans="2:4" hidden="1" x14ac:dyDescent="0.25">
      <c r="B162" s="74" t="s">
        <v>302</v>
      </c>
      <c r="C162" s="73" t="s">
        <v>303</v>
      </c>
      <c r="D162" s="141" t="s">
        <v>70</v>
      </c>
    </row>
    <row r="163" spans="2:4" hidden="1" x14ac:dyDescent="0.25">
      <c r="B163" s="74" t="s">
        <v>304</v>
      </c>
      <c r="C163" s="73" t="s">
        <v>305</v>
      </c>
      <c r="D163" s="147" t="s">
        <v>59</v>
      </c>
    </row>
    <row r="164" spans="2:4" hidden="1" x14ac:dyDescent="0.25">
      <c r="B164" s="74" t="s">
        <v>306</v>
      </c>
      <c r="C164" s="73" t="s">
        <v>307</v>
      </c>
      <c r="D164" s="147" t="s">
        <v>70</v>
      </c>
    </row>
    <row r="165" spans="2:4" hidden="1" x14ac:dyDescent="0.25">
      <c r="B165" s="74" t="s">
        <v>308</v>
      </c>
      <c r="C165" s="73" t="s">
        <v>309</v>
      </c>
      <c r="D165" s="141" t="s">
        <v>70</v>
      </c>
    </row>
    <row r="166" spans="2:4" hidden="1" x14ac:dyDescent="0.25">
      <c r="B166" s="74" t="s">
        <v>310</v>
      </c>
      <c r="C166" s="73" t="s">
        <v>311</v>
      </c>
      <c r="D166" s="141" t="s">
        <v>59</v>
      </c>
    </row>
    <row r="167" spans="2:4" hidden="1" x14ac:dyDescent="0.25">
      <c r="B167" s="74" t="s">
        <v>312</v>
      </c>
      <c r="C167" s="73" t="s">
        <v>313</v>
      </c>
      <c r="D167" s="141" t="s">
        <v>59</v>
      </c>
    </row>
    <row r="168" spans="2:4" hidden="1" x14ac:dyDescent="0.25">
      <c r="B168" s="74" t="s">
        <v>314</v>
      </c>
      <c r="C168" s="73" t="s">
        <v>315</v>
      </c>
      <c r="D168" s="141" t="s">
        <v>59</v>
      </c>
    </row>
    <row r="169" spans="2:4" hidden="1" x14ac:dyDescent="0.25">
      <c r="B169" s="74" t="s">
        <v>316</v>
      </c>
      <c r="C169" s="73" t="s">
        <v>317</v>
      </c>
      <c r="D169" s="141" t="s">
        <v>59</v>
      </c>
    </row>
    <row r="170" spans="2:4" hidden="1" x14ac:dyDescent="0.25">
      <c r="B170" s="74" t="s">
        <v>318</v>
      </c>
      <c r="C170" s="73" t="s">
        <v>319</v>
      </c>
      <c r="D170" s="147" t="s">
        <v>59</v>
      </c>
    </row>
    <row r="171" spans="2:4" hidden="1" x14ac:dyDescent="0.25">
      <c r="B171" s="74" t="s">
        <v>320</v>
      </c>
      <c r="C171" s="73" t="s">
        <v>321</v>
      </c>
      <c r="D171" s="141" t="s">
        <v>59</v>
      </c>
    </row>
    <row r="172" spans="2:4" hidden="1" x14ac:dyDescent="0.25">
      <c r="B172" s="74" t="s">
        <v>322</v>
      </c>
      <c r="C172" s="73" t="s">
        <v>1422</v>
      </c>
      <c r="D172" s="147" t="s">
        <v>70</v>
      </c>
    </row>
    <row r="173" spans="2:4" hidden="1" x14ac:dyDescent="0.25">
      <c r="B173" s="74" t="s">
        <v>323</v>
      </c>
      <c r="C173" s="73" t="s">
        <v>324</v>
      </c>
      <c r="D173" s="147" t="s">
        <v>70</v>
      </c>
    </row>
    <row r="174" spans="2:4" hidden="1" x14ac:dyDescent="0.25">
      <c r="B174" s="74" t="s">
        <v>325</v>
      </c>
      <c r="C174" s="73" t="s">
        <v>326</v>
      </c>
      <c r="D174" s="141" t="s">
        <v>70</v>
      </c>
    </row>
    <row r="175" spans="2:4" hidden="1" x14ac:dyDescent="0.25">
      <c r="B175" s="74" t="s">
        <v>327</v>
      </c>
      <c r="C175" s="73" t="s">
        <v>328</v>
      </c>
      <c r="D175" s="141" t="s">
        <v>59</v>
      </c>
    </row>
    <row r="176" spans="2:4" hidden="1" x14ac:dyDescent="0.25">
      <c r="B176" s="74" t="s">
        <v>329</v>
      </c>
      <c r="C176" s="73" t="s">
        <v>330</v>
      </c>
      <c r="D176" s="141" t="s">
        <v>59</v>
      </c>
    </row>
    <row r="177" spans="2:4" hidden="1" x14ac:dyDescent="0.25">
      <c r="B177" s="74" t="s">
        <v>331</v>
      </c>
      <c r="C177" s="73" t="s">
        <v>1423</v>
      </c>
      <c r="D177" s="141" t="s">
        <v>59</v>
      </c>
    </row>
    <row r="178" spans="2:4" hidden="1" x14ac:dyDescent="0.25">
      <c r="B178" s="74" t="s">
        <v>332</v>
      </c>
      <c r="C178" s="73" t="s">
        <v>333</v>
      </c>
      <c r="D178" s="147" t="s">
        <v>59</v>
      </c>
    </row>
    <row r="179" spans="2:4" hidden="1" x14ac:dyDescent="0.25">
      <c r="B179" s="74" t="s">
        <v>334</v>
      </c>
      <c r="C179" s="73" t="s">
        <v>335</v>
      </c>
      <c r="D179" s="141" t="s">
        <v>70</v>
      </c>
    </row>
    <row r="180" spans="2:4" hidden="1" x14ac:dyDescent="0.25">
      <c r="B180" s="74" t="s">
        <v>336</v>
      </c>
      <c r="C180" s="73" t="s">
        <v>337</v>
      </c>
      <c r="D180" s="141" t="s">
        <v>59</v>
      </c>
    </row>
    <row r="181" spans="2:4" hidden="1" x14ac:dyDescent="0.25">
      <c r="B181" s="74" t="s">
        <v>338</v>
      </c>
      <c r="C181" s="73" t="s">
        <v>339</v>
      </c>
      <c r="D181" s="147" t="s">
        <v>59</v>
      </c>
    </row>
    <row r="182" spans="2:4" hidden="1" x14ac:dyDescent="0.25">
      <c r="B182" s="74" t="s">
        <v>340</v>
      </c>
      <c r="C182" s="73" t="s">
        <v>341</v>
      </c>
      <c r="D182" s="141" t="s">
        <v>59</v>
      </c>
    </row>
    <row r="183" spans="2:4" hidden="1" x14ac:dyDescent="0.25">
      <c r="B183" s="74" t="s">
        <v>342</v>
      </c>
      <c r="C183" s="73" t="s">
        <v>343</v>
      </c>
      <c r="D183" s="92" t="s">
        <v>70</v>
      </c>
    </row>
    <row r="184" spans="2:4" hidden="1" x14ac:dyDescent="0.25">
      <c r="B184" s="74" t="s">
        <v>344</v>
      </c>
      <c r="C184" s="73" t="s">
        <v>345</v>
      </c>
      <c r="D184" s="92" t="s">
        <v>59</v>
      </c>
    </row>
    <row r="185" spans="2:4" hidden="1" x14ac:dyDescent="0.25">
      <c r="B185" s="74" t="s">
        <v>346</v>
      </c>
      <c r="C185" s="73" t="s">
        <v>347</v>
      </c>
      <c r="D185" s="145" t="s">
        <v>59</v>
      </c>
    </row>
    <row r="186" spans="2:4" hidden="1" x14ac:dyDescent="0.25">
      <c r="B186" s="74" t="s">
        <v>348</v>
      </c>
      <c r="C186" s="73" t="s">
        <v>349</v>
      </c>
      <c r="D186" s="145" t="s">
        <v>59</v>
      </c>
    </row>
    <row r="187" spans="2:4" hidden="1" x14ac:dyDescent="0.25">
      <c r="B187" s="74" t="s">
        <v>350</v>
      </c>
      <c r="C187" s="73" t="s">
        <v>351</v>
      </c>
      <c r="D187" s="145" t="s">
        <v>59</v>
      </c>
    </row>
    <row r="188" spans="2:4" hidden="1" x14ac:dyDescent="0.25">
      <c r="B188" s="74" t="s">
        <v>352</v>
      </c>
      <c r="C188" s="73" t="s">
        <v>1424</v>
      </c>
      <c r="D188" s="145" t="s">
        <v>59</v>
      </c>
    </row>
    <row r="189" spans="2:4" hidden="1" x14ac:dyDescent="0.25">
      <c r="B189" s="74" t="s">
        <v>353</v>
      </c>
      <c r="C189" s="73" t="s">
        <v>354</v>
      </c>
      <c r="D189" s="92" t="s">
        <v>59</v>
      </c>
    </row>
    <row r="190" spans="2:4" hidden="1" x14ac:dyDescent="0.25">
      <c r="B190" s="74" t="s">
        <v>355</v>
      </c>
      <c r="C190" s="73" t="s">
        <v>356</v>
      </c>
      <c r="D190" s="145" t="s">
        <v>70</v>
      </c>
    </row>
    <row r="191" spans="2:4" hidden="1" x14ac:dyDescent="0.25">
      <c r="B191" s="74" t="s">
        <v>357</v>
      </c>
      <c r="C191" s="73" t="s">
        <v>358</v>
      </c>
      <c r="D191" s="145" t="s">
        <v>59</v>
      </c>
    </row>
    <row r="192" spans="2:4" hidden="1" x14ac:dyDescent="0.25">
      <c r="B192" s="74" t="s">
        <v>359</v>
      </c>
      <c r="C192" s="73" t="s">
        <v>360</v>
      </c>
      <c r="D192" s="145" t="s">
        <v>59</v>
      </c>
    </row>
    <row r="193" spans="2:4" hidden="1" x14ac:dyDescent="0.25">
      <c r="B193" s="74" t="s">
        <v>361</v>
      </c>
      <c r="C193" s="73" t="s">
        <v>362</v>
      </c>
      <c r="D193" s="145" t="s">
        <v>59</v>
      </c>
    </row>
    <row r="194" spans="2:4" hidden="1" x14ac:dyDescent="0.25">
      <c r="B194" s="74" t="s">
        <v>363</v>
      </c>
      <c r="C194" s="73" t="s">
        <v>364</v>
      </c>
      <c r="D194" s="92" t="s">
        <v>59</v>
      </c>
    </row>
    <row r="195" spans="2:4" hidden="1" x14ac:dyDescent="0.25">
      <c r="B195" s="74" t="s">
        <v>365</v>
      </c>
      <c r="C195" s="73" t="s">
        <v>366</v>
      </c>
      <c r="D195" s="145" t="s">
        <v>59</v>
      </c>
    </row>
    <row r="196" spans="2:4" hidden="1" x14ac:dyDescent="0.25">
      <c r="B196" s="74" t="s">
        <v>367</v>
      </c>
      <c r="C196" s="73" t="s">
        <v>368</v>
      </c>
      <c r="D196" s="92" t="s">
        <v>59</v>
      </c>
    </row>
    <row r="197" spans="2:4" hidden="1" x14ac:dyDescent="0.25">
      <c r="B197" s="71" t="s">
        <v>369</v>
      </c>
      <c r="C197" s="73" t="s">
        <v>370</v>
      </c>
      <c r="D197" s="146" t="s">
        <v>59</v>
      </c>
    </row>
    <row r="198" spans="2:4" hidden="1" x14ac:dyDescent="0.25">
      <c r="B198" s="74" t="s">
        <v>371</v>
      </c>
      <c r="C198" s="73" t="s">
        <v>1425</v>
      </c>
      <c r="D198" s="145" t="s">
        <v>70</v>
      </c>
    </row>
    <row r="199" spans="2:4" hidden="1" x14ac:dyDescent="0.25">
      <c r="B199" s="74" t="s">
        <v>372</v>
      </c>
      <c r="C199" s="73" t="s">
        <v>373</v>
      </c>
      <c r="D199" s="145" t="s">
        <v>70</v>
      </c>
    </row>
    <row r="200" spans="2:4" hidden="1" x14ac:dyDescent="0.25">
      <c r="B200" s="74" t="s">
        <v>374</v>
      </c>
      <c r="C200" s="73" t="s">
        <v>375</v>
      </c>
      <c r="D200" s="145" t="s">
        <v>59</v>
      </c>
    </row>
    <row r="201" spans="2:4" hidden="1" x14ac:dyDescent="0.25">
      <c r="B201" s="74" t="s">
        <v>376</v>
      </c>
      <c r="C201" s="73" t="s">
        <v>377</v>
      </c>
      <c r="D201" s="145" t="s">
        <v>70</v>
      </c>
    </row>
    <row r="202" spans="2:4" hidden="1" x14ac:dyDescent="0.25">
      <c r="B202" s="74" t="s">
        <v>378</v>
      </c>
      <c r="C202" s="73" t="s">
        <v>379</v>
      </c>
      <c r="D202" s="92" t="s">
        <v>59</v>
      </c>
    </row>
    <row r="203" spans="2:4" hidden="1" x14ac:dyDescent="0.25">
      <c r="B203" s="74" t="s">
        <v>380</v>
      </c>
      <c r="C203" s="73" t="s">
        <v>381</v>
      </c>
      <c r="D203" s="145" t="s">
        <v>59</v>
      </c>
    </row>
    <row r="204" spans="2:4" hidden="1" x14ac:dyDescent="0.25">
      <c r="B204" s="74" t="s">
        <v>382</v>
      </c>
      <c r="C204" s="73" t="s">
        <v>383</v>
      </c>
      <c r="D204" s="145" t="s">
        <v>59</v>
      </c>
    </row>
    <row r="205" spans="2:4" hidden="1" x14ac:dyDescent="0.25">
      <c r="B205" s="74" t="s">
        <v>384</v>
      </c>
      <c r="C205" s="73" t="s">
        <v>385</v>
      </c>
      <c r="D205" s="145" t="s">
        <v>59</v>
      </c>
    </row>
    <row r="206" spans="2:4" hidden="1" x14ac:dyDescent="0.25">
      <c r="B206" s="74" t="s">
        <v>386</v>
      </c>
      <c r="C206" s="73" t="s">
        <v>1534</v>
      </c>
      <c r="D206" s="145" t="s">
        <v>59</v>
      </c>
    </row>
    <row r="207" spans="2:4" hidden="1" x14ac:dyDescent="0.25">
      <c r="B207" s="74" t="s">
        <v>387</v>
      </c>
      <c r="C207" s="73" t="s">
        <v>388</v>
      </c>
      <c r="D207" s="145" t="s">
        <v>59</v>
      </c>
    </row>
    <row r="208" spans="2:4" hidden="1" x14ac:dyDescent="0.25">
      <c r="B208" s="74" t="s">
        <v>389</v>
      </c>
      <c r="C208" s="73" t="s">
        <v>390</v>
      </c>
      <c r="D208" s="145" t="s">
        <v>59</v>
      </c>
    </row>
    <row r="209" spans="2:4" hidden="1" x14ac:dyDescent="0.25">
      <c r="B209" s="74" t="s">
        <v>391</v>
      </c>
      <c r="C209" s="73" t="s">
        <v>1445</v>
      </c>
      <c r="D209" s="92" t="s">
        <v>70</v>
      </c>
    </row>
    <row r="210" spans="2:4" hidden="1" x14ac:dyDescent="0.25">
      <c r="B210" s="74" t="s">
        <v>392</v>
      </c>
      <c r="C210" s="73" t="s">
        <v>393</v>
      </c>
      <c r="D210" s="92" t="s">
        <v>59</v>
      </c>
    </row>
    <row r="211" spans="2:4" hidden="1" x14ac:dyDescent="0.25">
      <c r="B211" s="74" t="s">
        <v>394</v>
      </c>
      <c r="C211" s="73" t="s">
        <v>395</v>
      </c>
      <c r="D211" s="145" t="s">
        <v>59</v>
      </c>
    </row>
    <row r="212" spans="2:4" hidden="1" x14ac:dyDescent="0.25">
      <c r="B212" s="74" t="s">
        <v>396</v>
      </c>
      <c r="C212" s="73" t="s">
        <v>1426</v>
      </c>
      <c r="D212" s="92" t="s">
        <v>70</v>
      </c>
    </row>
    <row r="213" spans="2:4" hidden="1" x14ac:dyDescent="0.25">
      <c r="B213" s="74" t="s">
        <v>397</v>
      </c>
      <c r="C213" s="73" t="s">
        <v>398</v>
      </c>
      <c r="D213" s="145" t="s">
        <v>59</v>
      </c>
    </row>
    <row r="214" spans="2:4" hidden="1" x14ac:dyDescent="0.25">
      <c r="B214" s="74" t="s">
        <v>399</v>
      </c>
      <c r="C214" s="73" t="s">
        <v>400</v>
      </c>
      <c r="D214" s="145" t="s">
        <v>59</v>
      </c>
    </row>
    <row r="215" spans="2:4" hidden="1" x14ac:dyDescent="0.25">
      <c r="B215" s="74" t="s">
        <v>401</v>
      </c>
      <c r="C215" s="73" t="s">
        <v>1427</v>
      </c>
      <c r="D215" s="145" t="s">
        <v>59</v>
      </c>
    </row>
    <row r="216" spans="2:4" hidden="1" x14ac:dyDescent="0.25">
      <c r="B216" s="74" t="s">
        <v>402</v>
      </c>
      <c r="C216" s="73" t="s">
        <v>403</v>
      </c>
      <c r="D216" s="145" t="s">
        <v>59</v>
      </c>
    </row>
    <row r="217" spans="2:4" hidden="1" x14ac:dyDescent="0.25">
      <c r="B217" s="74" t="s">
        <v>404</v>
      </c>
      <c r="C217" s="73" t="s">
        <v>405</v>
      </c>
      <c r="D217" s="92" t="s">
        <v>70</v>
      </c>
    </row>
    <row r="218" spans="2:4" hidden="1" x14ac:dyDescent="0.25">
      <c r="B218" s="74" t="s">
        <v>406</v>
      </c>
      <c r="C218" s="73" t="s">
        <v>407</v>
      </c>
      <c r="D218" s="145" t="s">
        <v>59</v>
      </c>
    </row>
    <row r="219" spans="2:4" hidden="1" x14ac:dyDescent="0.25">
      <c r="B219" s="74" t="s">
        <v>408</v>
      </c>
      <c r="C219" s="73" t="s">
        <v>409</v>
      </c>
      <c r="D219" s="145" t="s">
        <v>59</v>
      </c>
    </row>
    <row r="220" spans="2:4" hidden="1" x14ac:dyDescent="0.25">
      <c r="B220" s="74" t="s">
        <v>410</v>
      </c>
      <c r="C220" s="73" t="s">
        <v>411</v>
      </c>
      <c r="D220" s="145" t="s">
        <v>59</v>
      </c>
    </row>
    <row r="221" spans="2:4" hidden="1" x14ac:dyDescent="0.25">
      <c r="B221" s="74" t="s">
        <v>412</v>
      </c>
      <c r="C221" s="73" t="s">
        <v>413</v>
      </c>
      <c r="D221" s="92" t="s">
        <v>59</v>
      </c>
    </row>
    <row r="222" spans="2:4" hidden="1" x14ac:dyDescent="0.25">
      <c r="B222" s="74" t="s">
        <v>414</v>
      </c>
      <c r="C222" s="73" t="s">
        <v>415</v>
      </c>
      <c r="D222" s="145" t="s">
        <v>59</v>
      </c>
    </row>
    <row r="223" spans="2:4" hidden="1" x14ac:dyDescent="0.25">
      <c r="B223" s="74" t="s">
        <v>416</v>
      </c>
      <c r="C223" s="73" t="s">
        <v>417</v>
      </c>
      <c r="D223" s="145" t="s">
        <v>59</v>
      </c>
    </row>
    <row r="224" spans="2:4" hidden="1" x14ac:dyDescent="0.25">
      <c r="B224" s="74" t="s">
        <v>418</v>
      </c>
      <c r="C224" s="73" t="s">
        <v>419</v>
      </c>
      <c r="D224" s="92" t="s">
        <v>59</v>
      </c>
    </row>
    <row r="225" spans="2:4" hidden="1" x14ac:dyDescent="0.25">
      <c r="B225" s="74" t="s">
        <v>420</v>
      </c>
      <c r="C225" s="73" t="s">
        <v>1535</v>
      </c>
      <c r="D225" s="145" t="s">
        <v>70</v>
      </c>
    </row>
    <row r="226" spans="2:4" hidden="1" x14ac:dyDescent="0.25">
      <c r="B226" s="74" t="s">
        <v>421</v>
      </c>
      <c r="C226" s="73" t="s">
        <v>422</v>
      </c>
      <c r="D226" s="145" t="s">
        <v>70</v>
      </c>
    </row>
    <row r="227" spans="2:4" hidden="1" x14ac:dyDescent="0.25">
      <c r="B227" s="74" t="s">
        <v>423</v>
      </c>
      <c r="C227" s="73" t="s">
        <v>424</v>
      </c>
      <c r="D227" s="145" t="s">
        <v>59</v>
      </c>
    </row>
    <row r="228" spans="2:4" hidden="1" x14ac:dyDescent="0.25">
      <c r="B228" s="74" t="s">
        <v>425</v>
      </c>
      <c r="C228" s="73" t="s">
        <v>426</v>
      </c>
      <c r="D228" s="145" t="s">
        <v>59</v>
      </c>
    </row>
    <row r="229" spans="2:4" hidden="1" x14ac:dyDescent="0.25">
      <c r="B229" s="74" t="s">
        <v>427</v>
      </c>
      <c r="C229" s="73" t="s">
        <v>1428</v>
      </c>
      <c r="D229" s="92" t="s">
        <v>59</v>
      </c>
    </row>
    <row r="230" spans="2:4" hidden="1" x14ac:dyDescent="0.25">
      <c r="B230" s="74" t="s">
        <v>428</v>
      </c>
      <c r="C230" s="73" t="s">
        <v>1309</v>
      </c>
      <c r="D230" s="145" t="s">
        <v>70</v>
      </c>
    </row>
    <row r="231" spans="2:4" hidden="1" x14ac:dyDescent="0.25">
      <c r="B231" s="74" t="s">
        <v>429</v>
      </c>
      <c r="C231" s="73" t="s">
        <v>430</v>
      </c>
      <c r="D231" s="145" t="s">
        <v>70</v>
      </c>
    </row>
    <row r="232" spans="2:4" hidden="1" x14ac:dyDescent="0.25">
      <c r="B232" s="74" t="s">
        <v>431</v>
      </c>
      <c r="C232" s="73" t="s">
        <v>432</v>
      </c>
      <c r="D232" s="145" t="s">
        <v>59</v>
      </c>
    </row>
    <row r="233" spans="2:4" hidden="1" x14ac:dyDescent="0.25">
      <c r="B233" s="74" t="s">
        <v>433</v>
      </c>
      <c r="C233" s="73" t="s">
        <v>434</v>
      </c>
      <c r="D233" s="145" t="s">
        <v>59</v>
      </c>
    </row>
    <row r="234" spans="2:4" hidden="1" x14ac:dyDescent="0.25">
      <c r="B234" s="74" t="s">
        <v>435</v>
      </c>
      <c r="C234" s="73" t="s">
        <v>1429</v>
      </c>
      <c r="D234" s="145" t="s">
        <v>70</v>
      </c>
    </row>
    <row r="235" spans="2:4" hidden="1" x14ac:dyDescent="0.25">
      <c r="B235" s="74" t="s">
        <v>436</v>
      </c>
      <c r="C235" s="73" t="s">
        <v>437</v>
      </c>
      <c r="D235" s="145" t="s">
        <v>59</v>
      </c>
    </row>
    <row r="236" spans="2:4" hidden="1" x14ac:dyDescent="0.25">
      <c r="B236" s="74" t="s">
        <v>438</v>
      </c>
      <c r="C236" s="73" t="s">
        <v>439</v>
      </c>
      <c r="D236" s="145" t="s">
        <v>59</v>
      </c>
    </row>
    <row r="237" spans="2:4" hidden="1" x14ac:dyDescent="0.25">
      <c r="B237" s="74" t="s">
        <v>440</v>
      </c>
      <c r="C237" s="73" t="s">
        <v>441</v>
      </c>
      <c r="D237" s="145" t="s">
        <v>59</v>
      </c>
    </row>
    <row r="238" spans="2:4" hidden="1" x14ac:dyDescent="0.25">
      <c r="B238" s="74" t="s">
        <v>442</v>
      </c>
      <c r="C238" s="73" t="s">
        <v>443</v>
      </c>
      <c r="D238" s="92" t="s">
        <v>70</v>
      </c>
    </row>
    <row r="239" spans="2:4" hidden="1" x14ac:dyDescent="0.25">
      <c r="B239" s="74" t="s">
        <v>444</v>
      </c>
      <c r="C239" s="73" t="s">
        <v>445</v>
      </c>
      <c r="D239" s="92" t="s">
        <v>70</v>
      </c>
    </row>
    <row r="240" spans="2:4" hidden="1" x14ac:dyDescent="0.25">
      <c r="B240" s="74" t="s">
        <v>446</v>
      </c>
      <c r="C240" s="73" t="s">
        <v>447</v>
      </c>
      <c r="D240" s="145" t="s">
        <v>70</v>
      </c>
    </row>
    <row r="241" spans="2:4" hidden="1" x14ac:dyDescent="0.25">
      <c r="B241" s="74" t="s">
        <v>448</v>
      </c>
      <c r="C241" s="73" t="s">
        <v>449</v>
      </c>
      <c r="D241" s="145" t="s">
        <v>70</v>
      </c>
    </row>
    <row r="242" spans="2:4" hidden="1" x14ac:dyDescent="0.25">
      <c r="B242" s="74" t="s">
        <v>450</v>
      </c>
      <c r="C242" s="73" t="s">
        <v>1430</v>
      </c>
      <c r="D242" s="92" t="s">
        <v>59</v>
      </c>
    </row>
    <row r="243" spans="2:4" hidden="1" x14ac:dyDescent="0.25">
      <c r="B243" s="74" t="s">
        <v>451</v>
      </c>
      <c r="C243" s="73" t="s">
        <v>452</v>
      </c>
      <c r="D243" s="92" t="s">
        <v>70</v>
      </c>
    </row>
    <row r="244" spans="2:4" hidden="1" x14ac:dyDescent="0.25"/>
  </sheetData>
  <sortState xmlns:xlrd2="http://schemas.microsoft.com/office/spreadsheetml/2017/richdata2" ref="B33:D246">
    <sortCondition ref="B33:B246"/>
  </sortState>
  <customSheetViews>
    <customSheetView guid="{EDC1BD6E-863A-4FC6-A3A9-F32079F4F0C1}" showGridLines="0" hiddenRows="1">
      <selection activeCell="C28" sqref="C28"/>
      <pageMargins left="0" right="0" top="0" bottom="0" header="0" footer="0"/>
      <pageSetup paperSize="9" orientation="portrait" verticalDpi="0" r:id="rId1"/>
      <headerFooter>
        <oddHeader>&amp;LINSERT YOUR NHS Foundation Trust&amp;RStatement of accounts 2014/15</oddHeader>
      </headerFooter>
    </customSheetView>
  </customSheetViews>
  <mergeCells count="2">
    <mergeCell ref="B26:C26"/>
    <mergeCell ref="B2:C2"/>
  </mergeCells>
  <dataValidations count="1">
    <dataValidation type="list" allowBlank="1" showInputMessage="1" showErrorMessage="1" sqref="C6" xr:uid="{00000000-0002-0000-0100-000000000000}">
      <formula1>$B$33:$B$243</formula1>
    </dataValidation>
  </dataValidations>
  <pageMargins left="0" right="0" top="0" bottom="0" header="0" footer="0"/>
  <pageSetup paperSize="9" orientation="portrait" r:id="rId2"/>
  <headerFooter>
    <oddHeader>&amp;LINSERT YOUR NHS Foundation Trust&amp;RStatement of accounts 2014/15</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CFCCA-649A-4E27-AD77-EE31FB58A6A4}">
  <sheetPr codeName="Sheet21">
    <tabColor rgb="FF92D050"/>
  </sheetPr>
  <dimension ref="A1:I81"/>
  <sheetViews>
    <sheetView topLeftCell="A8" workbookViewId="0"/>
  </sheetViews>
  <sheetFormatPr defaultColWidth="9.1796875" defaultRowHeight="13.75" customHeight="1" x14ac:dyDescent="0.35"/>
  <cols>
    <col min="1" max="1" width="1.1796875" customWidth="1"/>
    <col min="2" max="2" width="62.1796875" customWidth="1"/>
    <col min="3" max="3" width="11.453125" customWidth="1"/>
    <col min="4" max="4" width="1.1796875" customWidth="1"/>
    <col min="5" max="5" width="11.453125" customWidth="1"/>
  </cols>
  <sheetData>
    <row r="1" spans="1:9" s="237" customFormat="1" ht="13.75" hidden="1" customHeight="1" x14ac:dyDescent="0.35">
      <c r="A1" s="237">
        <f>ROUNDDOWN('Op Inc 2'!A9,0)+1.1</f>
        <v>5.0999999999999996</v>
      </c>
      <c r="B1" s="221" t="str">
        <f>"Note " &amp;A1 &amp; " Additional information on contract revenue (IFRS 15) recognised in the period"</f>
        <v>Note 5.1 Additional information on contract revenue (IFRS 15) recognised in the period</v>
      </c>
      <c r="I1" s="268"/>
    </row>
    <row r="2" spans="1:9" s="237" customFormat="1" ht="13.75" hidden="1" customHeight="1" x14ac:dyDescent="0.35">
      <c r="C2" s="266" t="str">
        <f>CurrentFY</f>
        <v>2024/25</v>
      </c>
      <c r="E2" s="266" t="str">
        <f>ComparativeFY</f>
        <v>2023/24</v>
      </c>
    </row>
    <row r="3" spans="1:9" s="237" customFormat="1" ht="13.75" hidden="1" customHeight="1" x14ac:dyDescent="0.35">
      <c r="C3" s="266" t="s">
        <v>542</v>
      </c>
      <c r="E3" s="266" t="s">
        <v>542</v>
      </c>
    </row>
    <row r="4" spans="1:9" s="237" customFormat="1" ht="24.4" hidden="1" customHeight="1" x14ac:dyDescent="0.35">
      <c r="B4" s="245" t="s">
        <v>790</v>
      </c>
      <c r="C4" s="218"/>
      <c r="E4" s="218"/>
    </row>
    <row r="5" spans="1:9" s="237" customFormat="1" ht="8.9" hidden="1" customHeight="1" x14ac:dyDescent="0.35">
      <c r="B5" s="245"/>
    </row>
    <row r="6" spans="1:9" s="237" customFormat="1" ht="25.15" hidden="1" customHeight="1" x14ac:dyDescent="0.35">
      <c r="B6" s="245" t="s">
        <v>791</v>
      </c>
      <c r="C6" s="218"/>
      <c r="E6" s="218"/>
    </row>
    <row r="7" spans="1:9" ht="13.75" hidden="1" customHeight="1" x14ac:dyDescent="0.35"/>
    <row r="8" spans="1:9" ht="13.75" customHeight="1" x14ac:dyDescent="0.35">
      <c r="A8">
        <f>A1+0.1</f>
        <v>5.1999999999999993</v>
      </c>
      <c r="B8" s="93" t="str">
        <f>"Note " &amp;A8 &amp; " Transaction price allocated to remaining performance obligations"</f>
        <v>Note 5.2 Transaction price allocated to remaining performance obligations</v>
      </c>
    </row>
    <row r="9" spans="1:9" ht="25.15" customHeight="1" x14ac:dyDescent="0.35">
      <c r="B9" s="432" t="s">
        <v>792</v>
      </c>
      <c r="C9" s="80" t="str">
        <f>TEXT(CurrentYearEnd, "d mmmm yyyy")</f>
        <v>31 March 2025</v>
      </c>
      <c r="E9" s="80" t="str">
        <f>TEXT(ComparativeYearEnd, "d mmmm yyyy")</f>
        <v>31 March 2024</v>
      </c>
    </row>
    <row r="10" spans="1:9" ht="13.75" customHeight="1" x14ac:dyDescent="0.35">
      <c r="B10" s="432"/>
      <c r="C10" s="80" t="s">
        <v>542</v>
      </c>
      <c r="E10" s="80" t="s">
        <v>542</v>
      </c>
    </row>
    <row r="11" spans="1:9" ht="13.75" customHeight="1" x14ac:dyDescent="0.35">
      <c r="B11" s="105" t="s">
        <v>793</v>
      </c>
      <c r="C11" s="41">
        <v>2222</v>
      </c>
      <c r="E11" s="41">
        <v>2843</v>
      </c>
    </row>
    <row r="12" spans="1:9" s="237" customFormat="1" ht="13.75" hidden="1" customHeight="1" x14ac:dyDescent="0.35">
      <c r="B12" s="216" t="s">
        <v>794</v>
      </c>
      <c r="C12" s="218"/>
      <c r="E12" s="218"/>
    </row>
    <row r="13" spans="1:9" s="237" customFormat="1" ht="13.75" hidden="1" customHeight="1" x14ac:dyDescent="0.35">
      <c r="B13" s="216" t="s">
        <v>795</v>
      </c>
      <c r="C13" s="218"/>
      <c r="E13" s="218"/>
    </row>
    <row r="14" spans="1:9" ht="13.75" customHeight="1" thickBot="1" x14ac:dyDescent="0.4">
      <c r="B14" s="14" t="s">
        <v>796</v>
      </c>
      <c r="C14" s="42">
        <f>SUM(C11:C13)</f>
        <v>2222</v>
      </c>
      <c r="E14" s="42">
        <f>SUM(E11:E13)</f>
        <v>2843</v>
      </c>
    </row>
    <row r="15" spans="1:9" ht="13.75" customHeight="1" thickTop="1" x14ac:dyDescent="0.35"/>
    <row r="16" spans="1:9" ht="36" customHeight="1" x14ac:dyDescent="0.35">
      <c r="B16" s="459" t="s">
        <v>797</v>
      </c>
      <c r="C16" s="459"/>
      <c r="D16" s="459"/>
      <c r="E16" s="459"/>
    </row>
    <row r="18" spans="1:5" s="220" customFormat="1" ht="13.75" hidden="1" customHeight="1" x14ac:dyDescent="0.35">
      <c r="A18" s="286" t="e">
        <f>#REF!+0.1</f>
        <v>#REF!</v>
      </c>
      <c r="B18" s="255" t="e">
        <f>"Note " &amp;A18 &amp; " Fees and charges "</f>
        <v>#REF!</v>
      </c>
      <c r="C18" s="292"/>
      <c r="D18" s="237"/>
      <c r="E18" s="237"/>
    </row>
    <row r="19" spans="1:5" s="220" customFormat="1" ht="35.5" hidden="1" customHeight="1" x14ac:dyDescent="0.25">
      <c r="A19" s="286"/>
      <c r="B19" s="461" t="s">
        <v>1487</v>
      </c>
      <c r="C19" s="461"/>
      <c r="D19" s="461"/>
      <c r="E19" s="461"/>
    </row>
    <row r="20" spans="1:5" s="220" customFormat="1" ht="13.75" hidden="1" customHeight="1" x14ac:dyDescent="0.25">
      <c r="A20" s="286"/>
      <c r="B20" s="291"/>
      <c r="C20" s="266" t="str">
        <f>CurrentFY</f>
        <v>2024/25</v>
      </c>
      <c r="D20" s="266"/>
      <c r="E20" s="266" t="str">
        <f>ComparativeFY</f>
        <v>2023/24</v>
      </c>
    </row>
    <row r="21" spans="1:5" s="220" customFormat="1" ht="13.75" hidden="1" customHeight="1" x14ac:dyDescent="0.25">
      <c r="A21" s="286"/>
      <c r="B21" s="291"/>
      <c r="C21" s="266" t="s">
        <v>542</v>
      </c>
      <c r="D21" s="266"/>
      <c r="E21" s="266" t="s">
        <v>542</v>
      </c>
    </row>
    <row r="22" spans="1:5" s="220" customFormat="1" ht="13.75" hidden="1" customHeight="1" x14ac:dyDescent="0.25">
      <c r="A22" s="286"/>
      <c r="B22" s="293" t="s">
        <v>798</v>
      </c>
      <c r="C22" s="218">
        <v>0</v>
      </c>
      <c r="D22" s="218"/>
      <c r="E22" s="218">
        <v>0</v>
      </c>
    </row>
    <row r="23" spans="1:5" s="220" customFormat="1" ht="13.75" hidden="1" customHeight="1" x14ac:dyDescent="0.25">
      <c r="A23" s="286"/>
      <c r="B23" s="293" t="s">
        <v>799</v>
      </c>
      <c r="C23" s="218">
        <v>0</v>
      </c>
      <c r="D23" s="218"/>
      <c r="E23" s="218">
        <v>0</v>
      </c>
    </row>
    <row r="24" spans="1:5" s="220" customFormat="1" ht="13.75" hidden="1" customHeight="1" thickBot="1" x14ac:dyDescent="0.3">
      <c r="A24" s="286"/>
      <c r="B24" s="294" t="s">
        <v>800</v>
      </c>
      <c r="C24" s="290">
        <f>SUM(C22:C23)</f>
        <v>0</v>
      </c>
      <c r="E24" s="290">
        <f>SUM(E22:E23)</f>
        <v>0</v>
      </c>
    </row>
    <row r="25" spans="1:5" s="220" customFormat="1" ht="22" hidden="1" customHeight="1" thickTop="1" x14ac:dyDescent="0.25">
      <c r="A25" s="286"/>
      <c r="B25" s="295" t="s">
        <v>801</v>
      </c>
    </row>
    <row r="26" spans="1:5" ht="13.75" customHeight="1" x14ac:dyDescent="0.35">
      <c r="A26">
        <f>ROUND(A8,0)+1.1</f>
        <v>6.1</v>
      </c>
      <c r="B26" s="5" t="str">
        <f>"Note " &amp;A26 &amp;  " Operating expenses "</f>
        <v xml:space="preserve">Note 6.1 Operating expenses </v>
      </c>
      <c r="C26" s="2"/>
      <c r="D26" s="2"/>
      <c r="E26" s="2"/>
    </row>
    <row r="27" spans="1:5" ht="13.75" customHeight="1" x14ac:dyDescent="0.35">
      <c r="B27" s="2"/>
      <c r="C27" s="106" t="str">
        <f>CurrentFY</f>
        <v>2024/25</v>
      </c>
      <c r="D27" s="106"/>
      <c r="E27" s="106" t="str">
        <f>ComparativeFY</f>
        <v>2023/24</v>
      </c>
    </row>
    <row r="28" spans="1:5" ht="13.75" customHeight="1" x14ac:dyDescent="0.35">
      <c r="B28" s="2"/>
      <c r="C28" s="106" t="s">
        <v>542</v>
      </c>
      <c r="D28" s="106"/>
      <c r="E28" s="106" t="s">
        <v>542</v>
      </c>
    </row>
    <row r="29" spans="1:5" s="237" customFormat="1" ht="13.75" hidden="1" customHeight="1" x14ac:dyDescent="0.35">
      <c r="B29" s="220" t="s">
        <v>802</v>
      </c>
      <c r="C29" s="220">
        <v>0</v>
      </c>
      <c r="D29" s="220"/>
      <c r="E29" s="220">
        <v>0</v>
      </c>
    </row>
    <row r="30" spans="1:5" ht="13.75" customHeight="1" x14ac:dyDescent="0.35">
      <c r="B30" s="2" t="s">
        <v>803</v>
      </c>
      <c r="C30" s="19">
        <v>4310</v>
      </c>
      <c r="D30" s="19"/>
      <c r="E30" s="19">
        <v>3599</v>
      </c>
    </row>
    <row r="31" spans="1:5" s="237" customFormat="1" ht="13.75" hidden="1" customHeight="1" x14ac:dyDescent="0.35">
      <c r="B31" s="220" t="s">
        <v>804</v>
      </c>
      <c r="C31" s="280">
        <v>0</v>
      </c>
      <c r="D31" s="280"/>
      <c r="E31" s="280">
        <v>0</v>
      </c>
    </row>
    <row r="32" spans="1:5" ht="13.75" customHeight="1" x14ac:dyDescent="0.35">
      <c r="B32" s="2" t="s">
        <v>805</v>
      </c>
      <c r="C32" s="19">
        <v>404693</v>
      </c>
      <c r="D32" s="19"/>
      <c r="E32" s="19">
        <v>363159</v>
      </c>
    </row>
    <row r="33" spans="2:5" ht="13.75" customHeight="1" x14ac:dyDescent="0.35">
      <c r="B33" s="2" t="s">
        <v>806</v>
      </c>
      <c r="C33" s="19">
        <v>134</v>
      </c>
      <c r="D33" s="19"/>
      <c r="E33" s="19">
        <v>145</v>
      </c>
    </row>
    <row r="34" spans="2:5" ht="13.75" customHeight="1" x14ac:dyDescent="0.35">
      <c r="B34" s="2" t="s">
        <v>807</v>
      </c>
      <c r="C34" s="19">
        <v>6874</v>
      </c>
      <c r="D34" s="19"/>
      <c r="E34" s="19">
        <v>6673</v>
      </c>
    </row>
    <row r="35" spans="2:5" ht="13.75" customHeight="1" x14ac:dyDescent="0.35">
      <c r="B35" s="2" t="s">
        <v>809</v>
      </c>
      <c r="C35" s="19">
        <v>3755</v>
      </c>
      <c r="D35" s="19"/>
      <c r="E35" s="19">
        <v>3305</v>
      </c>
    </row>
    <row r="36" spans="2:5" ht="13.75" customHeight="1" x14ac:dyDescent="0.35">
      <c r="B36" s="2" t="s">
        <v>810</v>
      </c>
      <c r="C36" s="19">
        <v>1754</v>
      </c>
      <c r="D36" s="19"/>
      <c r="E36" s="19">
        <v>1972</v>
      </c>
    </row>
    <row r="37" spans="2:5" s="237" customFormat="1" ht="13.75" hidden="1" customHeight="1" x14ac:dyDescent="0.35">
      <c r="B37" s="220" t="s">
        <v>811</v>
      </c>
      <c r="C37" s="280">
        <v>0</v>
      </c>
      <c r="D37" s="280"/>
      <c r="E37" s="280">
        <v>0</v>
      </c>
    </row>
    <row r="38" spans="2:5" ht="13.75" customHeight="1" x14ac:dyDescent="0.35">
      <c r="B38" s="2" t="s">
        <v>813</v>
      </c>
      <c r="C38" s="19">
        <v>146</v>
      </c>
      <c r="D38" s="19"/>
      <c r="E38" s="19">
        <v>0</v>
      </c>
    </row>
    <row r="39" spans="2:5" ht="13.75" customHeight="1" x14ac:dyDescent="0.35">
      <c r="B39" s="2" t="s">
        <v>1539</v>
      </c>
      <c r="C39" s="19">
        <v>11234</v>
      </c>
      <c r="D39" s="19"/>
      <c r="E39" s="19">
        <v>12822</v>
      </c>
    </row>
    <row r="40" spans="2:5" ht="13.75" customHeight="1" x14ac:dyDescent="0.35">
      <c r="B40" s="2" t="s">
        <v>814</v>
      </c>
      <c r="C40" s="19">
        <v>22229</v>
      </c>
      <c r="D40" s="19"/>
      <c r="E40" s="211">
        <v>22897</v>
      </c>
    </row>
    <row r="41" spans="2:5" ht="13.75" customHeight="1" x14ac:dyDescent="0.35">
      <c r="B41" s="2" t="s">
        <v>815</v>
      </c>
      <c r="C41" s="19">
        <v>56906</v>
      </c>
      <c r="D41" s="19"/>
      <c r="E41" s="19">
        <v>59192</v>
      </c>
    </row>
    <row r="42" spans="2:5" ht="13.75" customHeight="1" x14ac:dyDescent="0.35">
      <c r="B42" s="2" t="s">
        <v>816</v>
      </c>
      <c r="C42" s="19">
        <v>21863</v>
      </c>
      <c r="D42" s="19"/>
      <c r="E42" s="19">
        <v>20975</v>
      </c>
    </row>
    <row r="43" spans="2:5" ht="13.75" customHeight="1" x14ac:dyDescent="0.35">
      <c r="B43" s="2" t="s">
        <v>817</v>
      </c>
      <c r="C43" s="19">
        <v>451</v>
      </c>
      <c r="D43" s="19"/>
      <c r="E43" s="19">
        <v>735</v>
      </c>
    </row>
    <row r="44" spans="2:5" ht="13.75" customHeight="1" x14ac:dyDescent="0.35">
      <c r="B44" s="2" t="s">
        <v>565</v>
      </c>
      <c r="C44" s="19">
        <v>854</v>
      </c>
      <c r="D44" s="19"/>
      <c r="E44" s="19">
        <v>3664</v>
      </c>
    </row>
    <row r="45" spans="2:5" ht="13.75" customHeight="1" x14ac:dyDescent="0.35">
      <c r="B45" s="2" t="s">
        <v>818</v>
      </c>
      <c r="C45" s="19">
        <v>1336</v>
      </c>
      <c r="D45" s="19"/>
      <c r="E45" s="19">
        <v>53</v>
      </c>
    </row>
    <row r="46" spans="2:5" s="237" customFormat="1" ht="13.75" hidden="1" customHeight="1" x14ac:dyDescent="0.35">
      <c r="B46" s="220" t="s">
        <v>819</v>
      </c>
      <c r="C46" s="280"/>
      <c r="D46" s="280"/>
      <c r="E46" s="280"/>
    </row>
    <row r="47" spans="2:5" s="237" customFormat="1" ht="13.75" hidden="1" customHeight="1" x14ac:dyDescent="0.35">
      <c r="B47" s="220" t="s">
        <v>820</v>
      </c>
      <c r="C47" s="280">
        <v>0</v>
      </c>
      <c r="D47" s="280"/>
      <c r="E47" s="280">
        <v>0</v>
      </c>
    </row>
    <row r="48" spans="2:5" ht="13.75" customHeight="1" x14ac:dyDescent="0.35">
      <c r="B48" s="2" t="s">
        <v>821</v>
      </c>
      <c r="C48" s="19">
        <v>57</v>
      </c>
      <c r="D48" s="19"/>
      <c r="E48" s="370">
        <v>-388</v>
      </c>
    </row>
    <row r="49" spans="2:5" s="237" customFormat="1" ht="13.75" hidden="1" customHeight="1" x14ac:dyDescent="0.35">
      <c r="B49" s="220" t="s">
        <v>1303</v>
      </c>
      <c r="C49" s="280"/>
      <c r="D49" s="280"/>
      <c r="E49" s="280"/>
    </row>
    <row r="50" spans="2:5" ht="13.75" customHeight="1" x14ac:dyDescent="0.35">
      <c r="B50" s="2" t="s">
        <v>1753</v>
      </c>
      <c r="C50" s="19">
        <v>120</v>
      </c>
      <c r="D50" s="19"/>
      <c r="E50" s="211">
        <v>93</v>
      </c>
    </row>
    <row r="51" spans="2:5" s="237" customFormat="1" ht="13.75" hidden="1" customHeight="1" x14ac:dyDescent="0.35">
      <c r="B51" s="220" t="s">
        <v>823</v>
      </c>
      <c r="C51" s="280"/>
      <c r="D51" s="280"/>
      <c r="E51" s="280"/>
    </row>
    <row r="52" spans="2:5" ht="13.75" customHeight="1" x14ac:dyDescent="0.35">
      <c r="B52" s="2" t="s">
        <v>824</v>
      </c>
      <c r="C52" s="211">
        <v>107</v>
      </c>
      <c r="D52" s="211"/>
      <c r="E52" s="211">
        <v>99</v>
      </c>
    </row>
    <row r="53" spans="2:5" ht="13.75" customHeight="1" x14ac:dyDescent="0.35">
      <c r="B53" s="2" t="s">
        <v>825</v>
      </c>
      <c r="C53" s="19">
        <v>4193</v>
      </c>
      <c r="D53" s="19"/>
      <c r="E53" s="19">
        <v>3493</v>
      </c>
    </row>
    <row r="54" spans="2:5" ht="13.75" customHeight="1" x14ac:dyDescent="0.35">
      <c r="B54" s="2" t="s">
        <v>826</v>
      </c>
      <c r="C54" s="19">
        <v>281</v>
      </c>
      <c r="D54" s="19"/>
      <c r="E54" s="19">
        <v>618</v>
      </c>
    </row>
    <row r="55" spans="2:5" ht="13.75" customHeight="1" x14ac:dyDescent="0.35">
      <c r="B55" s="2" t="s">
        <v>827</v>
      </c>
      <c r="C55" s="19">
        <v>0</v>
      </c>
      <c r="D55" s="19"/>
      <c r="E55" s="19">
        <v>4</v>
      </c>
    </row>
    <row r="56" spans="2:5" s="296" customFormat="1" ht="13.75" hidden="1" customHeight="1" x14ac:dyDescent="0.35">
      <c r="B56" s="371" t="s">
        <v>780</v>
      </c>
      <c r="C56" s="372">
        <v>0</v>
      </c>
      <c r="D56" s="372"/>
      <c r="E56" s="372">
        <v>0</v>
      </c>
    </row>
    <row r="57" spans="2:5" ht="13.75" customHeight="1" x14ac:dyDescent="0.35">
      <c r="B57" s="2" t="s">
        <v>781</v>
      </c>
      <c r="C57" s="19">
        <v>10929</v>
      </c>
      <c r="D57" s="19"/>
      <c r="E57" s="19">
        <v>9839</v>
      </c>
    </row>
    <row r="58" spans="2:5" ht="13.75" customHeight="1" x14ac:dyDescent="0.35">
      <c r="B58" s="2" t="s">
        <v>1449</v>
      </c>
      <c r="C58" s="19">
        <v>43</v>
      </c>
      <c r="D58" s="19"/>
      <c r="E58" s="19">
        <v>186</v>
      </c>
    </row>
    <row r="59" spans="2:5" s="237" customFormat="1" ht="13.75" hidden="1" customHeight="1" x14ac:dyDescent="0.35">
      <c r="B59" s="220" t="s">
        <v>1448</v>
      </c>
      <c r="C59" s="280">
        <v>0</v>
      </c>
      <c r="D59" s="280"/>
      <c r="E59" s="280">
        <v>0</v>
      </c>
    </row>
    <row r="60" spans="2:5" s="237" customFormat="1" ht="13.75" hidden="1" customHeight="1" x14ac:dyDescent="0.35">
      <c r="B60" s="220" t="s">
        <v>1450</v>
      </c>
      <c r="C60" s="280">
        <v>0</v>
      </c>
      <c r="D60" s="280"/>
      <c r="E60" s="280">
        <v>0</v>
      </c>
    </row>
    <row r="61" spans="2:5" s="237" customFormat="1" ht="13.75" hidden="1" customHeight="1" x14ac:dyDescent="0.35">
      <c r="B61" s="220" t="s">
        <v>828</v>
      </c>
      <c r="C61" s="280">
        <v>0</v>
      </c>
      <c r="D61" s="280"/>
      <c r="E61" s="280">
        <v>0</v>
      </c>
    </row>
    <row r="62" spans="2:5" s="237" customFormat="1" ht="13.75" hidden="1" customHeight="1" x14ac:dyDescent="0.35">
      <c r="B62" s="220" t="s">
        <v>829</v>
      </c>
      <c r="C62" s="280">
        <v>0</v>
      </c>
      <c r="D62" s="280"/>
      <c r="E62" s="280">
        <v>0</v>
      </c>
    </row>
    <row r="63" spans="2:5" s="237" customFormat="1" ht="13.75" hidden="1" customHeight="1" x14ac:dyDescent="0.35">
      <c r="B63" s="220" t="s">
        <v>830</v>
      </c>
      <c r="C63" s="280"/>
      <c r="D63" s="280"/>
      <c r="E63" s="280"/>
    </row>
    <row r="64" spans="2:5" s="237" customFormat="1" ht="13.75" hidden="1" customHeight="1" x14ac:dyDescent="0.35">
      <c r="B64" s="220" t="s">
        <v>831</v>
      </c>
      <c r="C64" s="280"/>
      <c r="D64" s="280"/>
      <c r="E64" s="280"/>
    </row>
    <row r="65" spans="1:5" s="237" customFormat="1" ht="13.75" hidden="1" customHeight="1" x14ac:dyDescent="0.35">
      <c r="B65" s="220" t="s">
        <v>832</v>
      </c>
      <c r="C65" s="280"/>
      <c r="D65" s="280"/>
      <c r="E65" s="280"/>
    </row>
    <row r="66" spans="1:5" ht="13.75" customHeight="1" x14ac:dyDescent="0.35">
      <c r="B66" s="2" t="s">
        <v>833</v>
      </c>
      <c r="C66" s="19">
        <v>21</v>
      </c>
      <c r="D66" s="19"/>
      <c r="E66" s="19">
        <v>13</v>
      </c>
    </row>
    <row r="67" spans="1:5" ht="13.75" customHeight="1" x14ac:dyDescent="0.35">
      <c r="B67" s="2" t="s">
        <v>834</v>
      </c>
      <c r="C67" s="211">
        <v>697</v>
      </c>
      <c r="D67" s="19"/>
      <c r="E67" s="370">
        <v>-16</v>
      </c>
    </row>
    <row r="68" spans="1:5" s="237" customFormat="1" ht="13.75" hidden="1" customHeight="1" x14ac:dyDescent="0.35">
      <c r="B68" s="220" t="s">
        <v>835</v>
      </c>
      <c r="C68" s="211"/>
      <c r="D68" s="280"/>
      <c r="E68" s="280"/>
    </row>
    <row r="69" spans="1:5" s="237" customFormat="1" ht="13.75" hidden="1" customHeight="1" x14ac:dyDescent="0.35">
      <c r="B69" s="220" t="s">
        <v>836</v>
      </c>
      <c r="C69" s="211">
        <v>0</v>
      </c>
      <c r="D69" s="280"/>
      <c r="E69" s="280">
        <v>0</v>
      </c>
    </row>
    <row r="70" spans="1:5" ht="13.75" customHeight="1" x14ac:dyDescent="0.35">
      <c r="B70" s="2" t="s">
        <v>837</v>
      </c>
      <c r="C70" s="382">
        <v>0</v>
      </c>
      <c r="D70" s="19"/>
      <c r="E70" s="19">
        <v>134</v>
      </c>
    </row>
    <row r="71" spans="1:5" ht="13.75" customHeight="1" x14ac:dyDescent="0.35">
      <c r="B71" s="5" t="s">
        <v>541</v>
      </c>
      <c r="C71" s="20">
        <f>SUM(C29:C70)</f>
        <v>552987</v>
      </c>
      <c r="D71" s="20"/>
      <c r="E71" s="20">
        <f>SUM(E29:E70)</f>
        <v>513266</v>
      </c>
    </row>
    <row r="72" spans="1:5" ht="13.75" customHeight="1" x14ac:dyDescent="0.35">
      <c r="B72" s="2" t="s">
        <v>771</v>
      </c>
      <c r="C72" s="2"/>
      <c r="D72" s="2"/>
      <c r="E72" s="2"/>
    </row>
    <row r="73" spans="1:5" ht="13.75" customHeight="1" x14ac:dyDescent="0.35">
      <c r="B73" s="2" t="s">
        <v>772</v>
      </c>
      <c r="C73" s="373">
        <f>C71</f>
        <v>552987</v>
      </c>
      <c r="D73" s="2"/>
      <c r="E73" s="373">
        <f>E71</f>
        <v>513266</v>
      </c>
    </row>
    <row r="74" spans="1:5" s="237" customFormat="1" ht="13.75" hidden="1" customHeight="1" x14ac:dyDescent="0.35">
      <c r="B74" s="237" t="s">
        <v>773</v>
      </c>
      <c r="C74" s="237">
        <v>0</v>
      </c>
      <c r="E74" s="237">
        <v>0</v>
      </c>
    </row>
    <row r="75" spans="1:5" s="237" customFormat="1" ht="13.75" hidden="1" customHeight="1" x14ac:dyDescent="0.35">
      <c r="B75" s="237" t="s">
        <v>838</v>
      </c>
    </row>
    <row r="77" spans="1:5" ht="18.75" customHeight="1" x14ac:dyDescent="0.35">
      <c r="B77" s="460" t="s">
        <v>1651</v>
      </c>
      <c r="C77" s="460"/>
      <c r="D77" s="460"/>
      <c r="E77" s="460"/>
    </row>
    <row r="78" spans="1:5" ht="13.75" customHeight="1" x14ac:dyDescent="0.35">
      <c r="B78" s="297"/>
      <c r="C78" s="297"/>
      <c r="D78" s="297"/>
      <c r="E78" s="297"/>
    </row>
    <row r="79" spans="1:5" ht="13.75" customHeight="1" x14ac:dyDescent="0.35">
      <c r="A79">
        <f>A26+0.1</f>
        <v>6.1999999999999993</v>
      </c>
      <c r="B79" s="14" t="str">
        <f>"Note " &amp; A79&amp; " Limitation on auditor's liability "</f>
        <v xml:space="preserve">Note 6.2 Limitation on auditor's liability </v>
      </c>
      <c r="C79" s="273"/>
      <c r="D79" s="273"/>
      <c r="E79" s="273"/>
    </row>
    <row r="80" spans="1:5" ht="13.75" customHeight="1" x14ac:dyDescent="0.35">
      <c r="B80" s="459" t="s">
        <v>1652</v>
      </c>
      <c r="C80" s="459"/>
      <c r="D80" s="459"/>
      <c r="E80" s="459"/>
    </row>
    <row r="81" spans="2:5" ht="13.75" customHeight="1" x14ac:dyDescent="0.35">
      <c r="B81" s="459"/>
      <c r="C81" s="459"/>
      <c r="D81" s="459"/>
      <c r="E81" s="459"/>
    </row>
  </sheetData>
  <mergeCells count="5">
    <mergeCell ref="B80:E81"/>
    <mergeCell ref="B77:E77"/>
    <mergeCell ref="B9:B10"/>
    <mergeCell ref="B19:E19"/>
    <mergeCell ref="B16:E16"/>
  </mergeCells>
  <pageMargins left="0.59055118110236227" right="0.59055118110236227" top="0.59055118110236227" bottom="0.59055118110236227" header="0" footer="0"/>
  <pageSetup paperSize="9" orientation="portrait" r:id="rId1"/>
  <headerFoot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rgb="FF92D050"/>
  </sheetPr>
  <dimension ref="A1:J67"/>
  <sheetViews>
    <sheetView topLeftCell="A32" workbookViewId="0"/>
  </sheetViews>
  <sheetFormatPr defaultColWidth="9.1796875" defaultRowHeight="14.15" customHeight="1" x14ac:dyDescent="0.25"/>
  <cols>
    <col min="1" max="1" width="1.1796875" style="31" customWidth="1"/>
    <col min="2" max="2" width="59.54296875" style="1" customWidth="1"/>
    <col min="3" max="3" width="11.453125" style="1" customWidth="1"/>
    <col min="4" max="4" width="1.1796875" style="1" customWidth="1"/>
    <col min="5" max="5" width="11.453125" style="1" customWidth="1"/>
    <col min="6" max="16384" width="9.1796875" style="1"/>
  </cols>
  <sheetData>
    <row r="1" spans="1:10" s="245" customFormat="1" ht="14.15" hidden="1" customHeight="1" x14ac:dyDescent="0.35">
      <c r="A1" s="243" t="e">
        <f>'Op Exp'!A1+0.1</f>
        <v>#REF!</v>
      </c>
      <c r="B1" s="255" t="e">
        <f>"Note " &amp; A1 &amp; " Other auditor remuneration "</f>
        <v>#REF!</v>
      </c>
      <c r="C1" s="464"/>
      <c r="D1" s="464"/>
      <c r="E1" s="464"/>
      <c r="J1" s="268"/>
    </row>
    <row r="2" spans="1:10" s="245" customFormat="1" ht="14.15" hidden="1" customHeight="1" x14ac:dyDescent="0.25">
      <c r="A2" s="243"/>
      <c r="C2" s="266" t="str">
        <f>CurrentFY</f>
        <v>2024/25</v>
      </c>
      <c r="D2" s="266"/>
      <c r="E2" s="266" t="str">
        <f>ComparativeFY</f>
        <v>2023/24</v>
      </c>
    </row>
    <row r="3" spans="1:10" s="245" customFormat="1" ht="14.15" hidden="1" customHeight="1" x14ac:dyDescent="0.25">
      <c r="A3" s="243"/>
      <c r="C3" s="266" t="s">
        <v>542</v>
      </c>
      <c r="D3" s="266"/>
      <c r="E3" s="266" t="s">
        <v>542</v>
      </c>
    </row>
    <row r="4" spans="1:10" s="245" customFormat="1" ht="14.15" hidden="1" customHeight="1" x14ac:dyDescent="0.25">
      <c r="A4" s="243"/>
      <c r="B4" s="253" t="s">
        <v>839</v>
      </c>
      <c r="C4" s="218"/>
      <c r="D4" s="218"/>
      <c r="E4" s="218"/>
    </row>
    <row r="5" spans="1:10" s="245" customFormat="1" ht="14.15" hidden="1" customHeight="1" x14ac:dyDescent="0.25">
      <c r="A5" s="243"/>
      <c r="B5" s="216" t="s">
        <v>840</v>
      </c>
      <c r="C5" s="218">
        <v>0</v>
      </c>
      <c r="D5" s="218"/>
      <c r="E5" s="218">
        <v>0</v>
      </c>
    </row>
    <row r="6" spans="1:10" s="245" customFormat="1" ht="14.15" hidden="1" customHeight="1" x14ac:dyDescent="0.25">
      <c r="A6" s="243"/>
      <c r="B6" s="216" t="s">
        <v>841</v>
      </c>
      <c r="C6" s="218">
        <v>0</v>
      </c>
      <c r="D6" s="218"/>
      <c r="E6" s="218">
        <v>0</v>
      </c>
    </row>
    <row r="7" spans="1:10" s="245" customFormat="1" ht="14.15" hidden="1" customHeight="1" x14ac:dyDescent="0.25">
      <c r="A7" s="243"/>
      <c r="B7" s="216" t="s">
        <v>842</v>
      </c>
      <c r="C7" s="218">
        <v>0</v>
      </c>
      <c r="D7" s="218"/>
      <c r="E7" s="218">
        <v>0</v>
      </c>
    </row>
    <row r="8" spans="1:10" s="245" customFormat="1" ht="14.15" hidden="1" customHeight="1" x14ac:dyDescent="0.25">
      <c r="A8" s="243"/>
      <c r="B8" s="216" t="s">
        <v>843</v>
      </c>
      <c r="C8" s="218">
        <v>0</v>
      </c>
      <c r="D8" s="218"/>
      <c r="E8" s="218">
        <v>0</v>
      </c>
    </row>
    <row r="9" spans="1:10" s="245" customFormat="1" ht="14.15" hidden="1" customHeight="1" x14ac:dyDescent="0.25">
      <c r="A9" s="243"/>
      <c r="B9" s="216" t="s">
        <v>844</v>
      </c>
      <c r="C9" s="218">
        <v>0</v>
      </c>
      <c r="D9" s="218"/>
      <c r="E9" s="218">
        <v>0</v>
      </c>
    </row>
    <row r="10" spans="1:10" s="245" customFormat="1" ht="14.15" hidden="1" customHeight="1" x14ac:dyDescent="0.25">
      <c r="A10" s="243"/>
      <c r="B10" s="216" t="s">
        <v>845</v>
      </c>
      <c r="C10" s="218">
        <v>0</v>
      </c>
      <c r="D10" s="218"/>
      <c r="E10" s="218">
        <v>0</v>
      </c>
    </row>
    <row r="11" spans="1:10" s="245" customFormat="1" ht="14.15" hidden="1" customHeight="1" x14ac:dyDescent="0.25">
      <c r="A11" s="243"/>
      <c r="B11" s="216" t="s">
        <v>846</v>
      </c>
      <c r="C11" s="218">
        <v>0</v>
      </c>
      <c r="D11" s="218"/>
      <c r="E11" s="218">
        <v>0</v>
      </c>
    </row>
    <row r="12" spans="1:10" s="245" customFormat="1" ht="14.15" hidden="1" customHeight="1" x14ac:dyDescent="0.25">
      <c r="A12" s="243"/>
      <c r="B12" s="216" t="s">
        <v>847</v>
      </c>
      <c r="C12" s="218">
        <v>0</v>
      </c>
      <c r="D12" s="218"/>
      <c r="E12" s="218">
        <v>0</v>
      </c>
    </row>
    <row r="13" spans="1:10" s="245" customFormat="1" ht="14.15" hidden="1" customHeight="1" thickBot="1" x14ac:dyDescent="0.3">
      <c r="A13" s="243"/>
      <c r="B13" s="221" t="s">
        <v>541</v>
      </c>
      <c r="C13" s="290">
        <f>SUM(C4:C12)</f>
        <v>0</v>
      </c>
      <c r="D13" s="218"/>
      <c r="E13" s="290">
        <f>SUM(E4:E12)</f>
        <v>0</v>
      </c>
    </row>
    <row r="14" spans="1:10" s="245" customFormat="1" ht="14.15" hidden="1" customHeight="1" thickTop="1" x14ac:dyDescent="0.25">
      <c r="A14" s="243"/>
      <c r="B14" s="255"/>
      <c r="C14" s="299"/>
      <c r="D14" s="299"/>
      <c r="E14" s="299"/>
    </row>
    <row r="15" spans="1:10" s="245" customFormat="1" ht="14.15" hidden="1" customHeight="1" x14ac:dyDescent="0.25">
      <c r="A15" s="243"/>
    </row>
    <row r="16" spans="1:10" s="245" customFormat="1" ht="14.15" hidden="1" customHeight="1" x14ac:dyDescent="0.25">
      <c r="A16" s="243" t="e">
        <f>A1+0.1</f>
        <v>#REF!</v>
      </c>
      <c r="B16" s="255" t="e">
        <f>"Note " &amp; A16&amp; " Limitation on auditor's liability "</f>
        <v>#REF!</v>
      </c>
    </row>
    <row r="17" spans="1:6" s="245" customFormat="1" ht="11.9" hidden="1" customHeight="1" x14ac:dyDescent="0.25">
      <c r="A17" s="243"/>
      <c r="B17" s="462" t="s">
        <v>1652</v>
      </c>
      <c r="C17" s="462"/>
      <c r="D17" s="462"/>
      <c r="E17" s="462"/>
    </row>
    <row r="18" spans="1:6" s="245" customFormat="1" ht="14.15" hidden="1" customHeight="1" x14ac:dyDescent="0.25">
      <c r="A18" s="243"/>
      <c r="B18" s="462"/>
      <c r="C18" s="462"/>
      <c r="D18" s="462"/>
      <c r="E18" s="462"/>
    </row>
    <row r="19" spans="1:6" s="245" customFormat="1" ht="14.15" hidden="1" customHeight="1" x14ac:dyDescent="0.25">
      <c r="A19" s="243"/>
    </row>
    <row r="20" spans="1:6" s="245" customFormat="1" ht="14.15" hidden="1" customHeight="1" x14ac:dyDescent="0.25">
      <c r="A20" s="243"/>
    </row>
    <row r="21" spans="1:6" ht="14.15" customHeight="1" x14ac:dyDescent="0.35">
      <c r="A21" s="31">
        <f>ROUND('5-6 Op Exp'!A26,0)+1</f>
        <v>7</v>
      </c>
      <c r="B21" s="14" t="str">
        <f>"Note "&amp; A21 &amp; " Impairment of assets "</f>
        <v xml:space="preserve">Note 7 Impairment of assets </v>
      </c>
      <c r="C21" s="457"/>
      <c r="D21" s="457"/>
      <c r="E21" s="457"/>
    </row>
    <row r="22" spans="1:6" ht="14.15" customHeight="1" x14ac:dyDescent="0.25">
      <c r="B22" s="14"/>
      <c r="C22" s="80" t="str">
        <f>CurrentFY</f>
        <v>2024/25</v>
      </c>
      <c r="D22" s="80"/>
      <c r="E22" s="80" t="str">
        <f>ComparativeFY</f>
        <v>2023/24</v>
      </c>
    </row>
    <row r="23" spans="1:6" ht="14.15" customHeight="1" x14ac:dyDescent="0.25">
      <c r="C23" s="80" t="s">
        <v>542</v>
      </c>
      <c r="D23" s="80"/>
      <c r="E23" s="80" t="s">
        <v>542</v>
      </c>
    </row>
    <row r="24" spans="1:6" ht="14.15" customHeight="1" x14ac:dyDescent="0.25">
      <c r="B24" s="14" t="s">
        <v>848</v>
      </c>
      <c r="C24" s="21"/>
      <c r="D24" s="21"/>
      <c r="E24" s="21"/>
      <c r="F24" s="17"/>
    </row>
    <row r="25" spans="1:6" s="245" customFormat="1" ht="14.15" hidden="1" customHeight="1" x14ac:dyDescent="0.25">
      <c r="A25" s="243"/>
      <c r="B25" s="216" t="s">
        <v>849</v>
      </c>
      <c r="C25" s="218">
        <v>0</v>
      </c>
      <c r="D25" s="218"/>
      <c r="E25" s="218">
        <v>0</v>
      </c>
      <c r="F25" s="300"/>
    </row>
    <row r="26" spans="1:6" s="245" customFormat="1" ht="14.15" hidden="1" customHeight="1" x14ac:dyDescent="0.25">
      <c r="A26" s="243"/>
      <c r="B26" s="216" t="s">
        <v>850</v>
      </c>
      <c r="C26" s="218">
        <v>0</v>
      </c>
      <c r="D26" s="218"/>
      <c r="E26" s="218">
        <v>0</v>
      </c>
      <c r="F26" s="300"/>
    </row>
    <row r="27" spans="1:6" s="245" customFormat="1" ht="14.15" hidden="1" customHeight="1" x14ac:dyDescent="0.25">
      <c r="A27" s="243"/>
      <c r="B27" s="216" t="s">
        <v>851</v>
      </c>
      <c r="C27" s="218">
        <v>0</v>
      </c>
      <c r="D27" s="218"/>
      <c r="E27" s="218">
        <v>0</v>
      </c>
      <c r="F27" s="300"/>
    </row>
    <row r="28" spans="1:6" ht="14.15" customHeight="1" x14ac:dyDescent="0.25">
      <c r="B28" s="105" t="s">
        <v>852</v>
      </c>
      <c r="C28" s="41">
        <v>0</v>
      </c>
      <c r="D28" s="41"/>
      <c r="E28" s="41">
        <v>901</v>
      </c>
      <c r="F28" s="17"/>
    </row>
    <row r="29" spans="1:6" s="245" customFormat="1" ht="14.15" hidden="1" customHeight="1" x14ac:dyDescent="0.25">
      <c r="A29" s="243"/>
      <c r="B29" s="216" t="s">
        <v>853</v>
      </c>
      <c r="C29" s="218">
        <v>0</v>
      </c>
      <c r="D29" s="218"/>
      <c r="E29" s="218">
        <v>0</v>
      </c>
      <c r="F29" s="300"/>
    </row>
    <row r="30" spans="1:6" ht="14.15" customHeight="1" x14ac:dyDescent="0.25">
      <c r="B30" s="105" t="s">
        <v>854</v>
      </c>
      <c r="C30" s="41">
        <v>854</v>
      </c>
      <c r="D30" s="41"/>
      <c r="E30" s="41">
        <v>2763</v>
      </c>
      <c r="F30" s="17"/>
    </row>
    <row r="31" spans="1:6" s="245" customFormat="1" ht="14.15" hidden="1" customHeight="1" x14ac:dyDescent="0.25">
      <c r="A31" s="243"/>
      <c r="B31" s="216" t="s">
        <v>855</v>
      </c>
      <c r="C31" s="218">
        <v>0</v>
      </c>
      <c r="D31" s="218"/>
      <c r="E31" s="218">
        <v>0</v>
      </c>
      <c r="F31" s="300"/>
    </row>
    <row r="32" spans="1:6" ht="14.15" customHeight="1" thickBot="1" x14ac:dyDescent="0.3">
      <c r="B32" s="93" t="s">
        <v>856</v>
      </c>
      <c r="C32" s="42">
        <f>SUM(C25:C31)</f>
        <v>854</v>
      </c>
      <c r="D32" s="88"/>
      <c r="E32" s="42">
        <f>SUM(E25:E31)</f>
        <v>3664</v>
      </c>
    </row>
    <row r="33" spans="1:5" ht="14.15" customHeight="1" thickTop="1" x14ac:dyDescent="0.25">
      <c r="B33" s="105" t="s">
        <v>857</v>
      </c>
      <c r="C33" s="41">
        <v>-429</v>
      </c>
      <c r="D33" s="41"/>
      <c r="E33" s="41">
        <v>-458</v>
      </c>
    </row>
    <row r="34" spans="1:5" ht="14.15" customHeight="1" thickBot="1" x14ac:dyDescent="0.4">
      <c r="B34" s="99" t="s">
        <v>858</v>
      </c>
      <c r="C34" s="42">
        <f>SUM(C32:C33)</f>
        <v>425</v>
      </c>
      <c r="D34"/>
      <c r="E34" s="42">
        <f>SUM(E32:E33)</f>
        <v>3206</v>
      </c>
    </row>
    <row r="35" spans="1:5" s="245" customFormat="1" ht="14.15" hidden="1" customHeight="1" thickTop="1" x14ac:dyDescent="0.25">
      <c r="A35" s="243"/>
      <c r="B35" s="255"/>
      <c r="C35" s="299"/>
      <c r="D35" s="301"/>
      <c r="E35" s="299"/>
    </row>
    <row r="36" spans="1:5" s="245" customFormat="1" ht="88" hidden="1" customHeight="1" x14ac:dyDescent="0.25">
      <c r="A36" s="243"/>
      <c r="B36" s="463" t="s">
        <v>1488</v>
      </c>
      <c r="C36" s="463"/>
      <c r="D36" s="463"/>
      <c r="E36" s="463"/>
    </row>
    <row r="37" spans="1:5" s="245" customFormat="1" ht="14.15" hidden="1" customHeight="1" x14ac:dyDescent="0.25">
      <c r="A37" s="243"/>
      <c r="B37" s="255"/>
      <c r="C37" s="299"/>
      <c r="D37" s="301"/>
      <c r="E37" s="299"/>
    </row>
    <row r="38" spans="1:5" s="245" customFormat="1" ht="14.15" hidden="1" customHeight="1" x14ac:dyDescent="0.25">
      <c r="A38" s="243"/>
      <c r="B38" s="463" t="s">
        <v>859</v>
      </c>
      <c r="C38" s="463"/>
      <c r="D38" s="463"/>
      <c r="E38" s="463"/>
    </row>
    <row r="39" spans="1:5" s="245" customFormat="1" ht="14.15" hidden="1" customHeight="1" x14ac:dyDescent="0.25">
      <c r="A39" s="243"/>
      <c r="B39" s="465" t="s">
        <v>1653</v>
      </c>
      <c r="C39" s="465"/>
      <c r="D39" s="465"/>
      <c r="E39" s="465"/>
    </row>
    <row r="40" spans="1:5" ht="14.15" customHeight="1" thickTop="1" x14ac:dyDescent="0.25">
      <c r="B40" s="273"/>
      <c r="C40" s="273"/>
      <c r="D40" s="273"/>
      <c r="E40" s="273"/>
    </row>
    <row r="41" spans="1:5" ht="61.5" customHeight="1" x14ac:dyDescent="0.25">
      <c r="B41" s="466" t="s">
        <v>1728</v>
      </c>
      <c r="C41" s="466"/>
      <c r="D41" s="466"/>
      <c r="E41" s="466"/>
    </row>
    <row r="42" spans="1:5" ht="57" customHeight="1" x14ac:dyDescent="0.25">
      <c r="B42" s="466" t="s">
        <v>1741</v>
      </c>
      <c r="C42" s="466"/>
      <c r="D42" s="466"/>
      <c r="E42" s="466"/>
    </row>
    <row r="43" spans="1:5" ht="37.5" customHeight="1" x14ac:dyDescent="0.25">
      <c r="B43" s="466" t="s">
        <v>1729</v>
      </c>
      <c r="C43" s="466"/>
      <c r="D43" s="466"/>
      <c r="E43" s="466"/>
    </row>
    <row r="45" spans="1:5" ht="14.15" customHeight="1" x14ac:dyDescent="0.25">
      <c r="A45" s="31">
        <f>A21+1</f>
        <v>8</v>
      </c>
      <c r="B45" s="13" t="str">
        <f>"Note "&amp; A45 &amp;" Employee benefits "</f>
        <v xml:space="preserve">Note 8 Employee benefits </v>
      </c>
    </row>
    <row r="46" spans="1:5" ht="14.15" customHeight="1" x14ac:dyDescent="0.25">
      <c r="C46" s="172" t="str">
        <f>CurrentFY</f>
        <v>2024/25</v>
      </c>
      <c r="D46" s="172"/>
      <c r="E46" s="172" t="str">
        <f>ComparativeFY</f>
        <v>2023/24</v>
      </c>
    </row>
    <row r="47" spans="1:5" ht="14.15" customHeight="1" x14ac:dyDescent="0.25">
      <c r="C47" s="172" t="s">
        <v>541</v>
      </c>
      <c r="D47" s="172"/>
      <c r="E47" s="172" t="s">
        <v>541</v>
      </c>
    </row>
    <row r="48" spans="1:5" ht="14.15" customHeight="1" x14ac:dyDescent="0.25">
      <c r="C48" s="172" t="s">
        <v>542</v>
      </c>
      <c r="D48" s="172"/>
      <c r="E48" s="172" t="s">
        <v>542</v>
      </c>
    </row>
    <row r="49" spans="1:5" ht="14.15" customHeight="1" x14ac:dyDescent="0.25">
      <c r="B49" s="1" t="s">
        <v>860</v>
      </c>
      <c r="C49" s="359">
        <v>314146</v>
      </c>
      <c r="D49" s="172"/>
      <c r="E49" s="359">
        <v>284140</v>
      </c>
    </row>
    <row r="50" spans="1:5" ht="14.15" customHeight="1" x14ac:dyDescent="0.25">
      <c r="B50" s="1" t="s">
        <v>861</v>
      </c>
      <c r="C50" s="359">
        <v>32118</v>
      </c>
      <c r="E50" s="302">
        <v>30930</v>
      </c>
    </row>
    <row r="51" spans="1:5" ht="14.15" customHeight="1" x14ac:dyDescent="0.25">
      <c r="B51" s="1" t="s">
        <v>862</v>
      </c>
      <c r="C51" s="359">
        <v>1551</v>
      </c>
      <c r="E51" s="302">
        <v>1492</v>
      </c>
    </row>
    <row r="52" spans="1:5" ht="14.15" customHeight="1" x14ac:dyDescent="0.25">
      <c r="B52" s="1" t="s">
        <v>863</v>
      </c>
      <c r="C52" s="359">
        <v>62585</v>
      </c>
      <c r="E52" s="302">
        <v>50077</v>
      </c>
    </row>
    <row r="53" spans="1:5" s="245" customFormat="1" ht="14.15" hidden="1" customHeight="1" x14ac:dyDescent="0.25">
      <c r="A53" s="243"/>
      <c r="B53" s="245" t="s">
        <v>864</v>
      </c>
      <c r="C53" s="359"/>
      <c r="E53" s="303">
        <v>0</v>
      </c>
    </row>
    <row r="54" spans="1:5" s="245" customFormat="1" ht="14.15" hidden="1" customHeight="1" x14ac:dyDescent="0.25">
      <c r="A54" s="243"/>
      <c r="B54" s="245" t="s">
        <v>865</v>
      </c>
      <c r="C54" s="359"/>
      <c r="E54" s="303">
        <v>0</v>
      </c>
    </row>
    <row r="55" spans="1:5" s="245" customFormat="1" ht="14.15" hidden="1" customHeight="1" x14ac:dyDescent="0.25">
      <c r="A55" s="243"/>
      <c r="B55" s="245" t="s">
        <v>866</v>
      </c>
      <c r="C55" s="359"/>
      <c r="E55" s="303">
        <v>0</v>
      </c>
    </row>
    <row r="56" spans="1:5" s="245" customFormat="1" ht="14.15" hidden="1" customHeight="1" x14ac:dyDescent="0.25">
      <c r="A56" s="243"/>
      <c r="B56" s="245" t="s">
        <v>867</v>
      </c>
      <c r="C56" s="359"/>
      <c r="E56" s="303">
        <v>0</v>
      </c>
    </row>
    <row r="57" spans="1:5" ht="14.15" customHeight="1" x14ac:dyDescent="0.25">
      <c r="B57" s="1" t="s">
        <v>868</v>
      </c>
      <c r="C57" s="369">
        <v>392</v>
      </c>
      <c r="E57" s="302">
        <v>1723</v>
      </c>
    </row>
    <row r="58" spans="1:5" s="245" customFormat="1" ht="14.15" hidden="1" customHeight="1" x14ac:dyDescent="0.25">
      <c r="A58" s="243"/>
      <c r="B58" s="245" t="s">
        <v>869</v>
      </c>
    </row>
    <row r="59" spans="1:5" s="245" customFormat="1" ht="14.15" hidden="1" customHeight="1" x14ac:dyDescent="0.25">
      <c r="A59" s="243"/>
      <c r="B59" s="245" t="s">
        <v>870</v>
      </c>
      <c r="E59" s="303">
        <v>0</v>
      </c>
    </row>
    <row r="60" spans="1:5" ht="14.15" customHeight="1" thickBot="1" x14ac:dyDescent="0.3">
      <c r="B60" s="13" t="s">
        <v>1654</v>
      </c>
      <c r="C60" s="365">
        <v>410792</v>
      </c>
      <c r="D60" s="13"/>
      <c r="E60" s="304">
        <v>368362</v>
      </c>
    </row>
    <row r="61" spans="1:5" ht="14.15" customHeight="1" thickTop="1" x14ac:dyDescent="0.25">
      <c r="E61" s="302"/>
    </row>
    <row r="63" spans="1:5" s="245" customFormat="1" ht="14.15" hidden="1" customHeight="1" x14ac:dyDescent="0.25">
      <c r="A63" s="243"/>
      <c r="B63" s="245" t="s">
        <v>1316</v>
      </c>
    </row>
    <row r="64" spans="1:5" s="245" customFormat="1" ht="14.15" hidden="1" customHeight="1" x14ac:dyDescent="0.25">
      <c r="A64" s="243"/>
    </row>
    <row r="65" spans="1:5" ht="14.15" customHeight="1" x14ac:dyDescent="0.25">
      <c r="A65" s="31">
        <f>A45+0.1</f>
        <v>8.1</v>
      </c>
      <c r="B65" s="13" t="str">
        <f>"Note "&amp; A65&amp;" Retirements due to ill-health "</f>
        <v xml:space="preserve">Note 8.1 Retirements due to ill-health </v>
      </c>
    </row>
    <row r="66" spans="1:5" ht="45.75" customHeight="1" x14ac:dyDescent="0.25">
      <c r="B66" s="432" t="s">
        <v>1743</v>
      </c>
      <c r="C66" s="432"/>
      <c r="D66" s="432"/>
      <c r="E66" s="432"/>
    </row>
    <row r="67" spans="1:5" ht="27" customHeight="1" x14ac:dyDescent="0.25">
      <c r="B67" s="432" t="s">
        <v>874</v>
      </c>
      <c r="C67" s="432"/>
      <c r="D67" s="432"/>
      <c r="E67" s="432"/>
    </row>
  </sheetData>
  <customSheetViews>
    <customSheetView guid="{EDC1BD6E-863A-4FC6-A3A9-F32079F4F0C1}">
      <selection activeCell="B35" sqref="B35"/>
      <pageMargins left="0" right="0" top="0" bottom="0" header="0" footer="0"/>
      <pageSetup paperSize="9" orientation="portrait" verticalDpi="0" r:id="rId1"/>
    </customSheetView>
  </customSheetViews>
  <mergeCells count="11">
    <mergeCell ref="B67:E67"/>
    <mergeCell ref="B39:E39"/>
    <mergeCell ref="B41:E41"/>
    <mergeCell ref="B42:E42"/>
    <mergeCell ref="B43:E43"/>
    <mergeCell ref="B66:E66"/>
    <mergeCell ref="B17:E18"/>
    <mergeCell ref="B36:E36"/>
    <mergeCell ref="B38:E38"/>
    <mergeCell ref="C21:E21"/>
    <mergeCell ref="C1:E1"/>
  </mergeCells>
  <pageMargins left="0.59055118110236227" right="0.59055118110236227" top="0.59055118110236227" bottom="0.59055118110236227" header="0" footer="0"/>
  <pageSetup paperSize="9" orientation="portrait" r:id="rId2"/>
  <headerFoot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tabColor rgb="FF92D050"/>
    <pageSetUpPr fitToPage="1"/>
  </sheetPr>
  <dimension ref="A1:O389"/>
  <sheetViews>
    <sheetView workbookViewId="0"/>
  </sheetViews>
  <sheetFormatPr defaultRowHeight="13.75" customHeight="1" x14ac:dyDescent="0.35"/>
  <cols>
    <col min="1" max="1" width="1.453125" customWidth="1"/>
    <col min="2" max="2" width="25.1796875" style="79" customWidth="1"/>
    <col min="3" max="3" width="19.453125" style="79" customWidth="1"/>
    <col min="4" max="4" width="8.7265625" style="79"/>
    <col min="5" max="5" width="6" style="79" customWidth="1"/>
    <col min="6" max="6" width="8.7265625" style="79"/>
    <col min="7" max="7" width="8.1796875" style="79" customWidth="1"/>
    <col min="8" max="8" width="1.26953125" style="79" customWidth="1"/>
    <col min="9" max="9" width="9.1796875" style="79" customWidth="1"/>
    <col min="10" max="10" width="4.81640625" style="79" customWidth="1"/>
    <col min="12" max="15" width="0" hidden="1" customWidth="1"/>
  </cols>
  <sheetData>
    <row r="1" spans="1:15" ht="12" customHeight="1" thickBot="1" x14ac:dyDescent="0.4">
      <c r="A1">
        <f>ROUNDDOWN(Staff!A22,0)+1</f>
        <v>9</v>
      </c>
      <c r="B1" s="78" t="str">
        <f>"Note "&amp;A1 &amp; " Pension costs"</f>
        <v>Note 9 Pension costs</v>
      </c>
    </row>
    <row r="2" spans="1:15" ht="3.75" hidden="1" customHeight="1" thickBot="1" x14ac:dyDescent="0.4"/>
    <row r="3" spans="1:15" ht="114.75" customHeight="1" x14ac:dyDescent="0.35">
      <c r="B3" s="459" t="s">
        <v>1705</v>
      </c>
      <c r="C3" s="459"/>
      <c r="D3" s="459"/>
      <c r="E3" s="459"/>
      <c r="F3" s="459"/>
      <c r="G3" s="459"/>
      <c r="H3" s="459"/>
      <c r="I3" s="459"/>
      <c r="J3" s="459"/>
      <c r="L3" s="467" t="s">
        <v>1490</v>
      </c>
      <c r="M3" s="468"/>
      <c r="N3" s="468"/>
      <c r="O3" s="469"/>
    </row>
    <row r="4" spans="1:15" ht="1.5" customHeight="1" x14ac:dyDescent="0.35">
      <c r="L4" s="470"/>
      <c r="M4" s="471"/>
      <c r="N4" s="471"/>
      <c r="O4" s="472"/>
    </row>
    <row r="5" spans="1:15" ht="52.5" customHeight="1" x14ac:dyDescent="0.35">
      <c r="B5" s="459" t="s">
        <v>1706</v>
      </c>
      <c r="C5" s="459"/>
      <c r="D5" s="459"/>
      <c r="E5" s="459"/>
      <c r="F5" s="459"/>
      <c r="G5" s="459"/>
      <c r="H5" s="459"/>
      <c r="I5" s="459"/>
      <c r="J5" s="459"/>
      <c r="L5" s="470"/>
      <c r="M5" s="471"/>
      <c r="N5" s="471"/>
      <c r="O5" s="472"/>
    </row>
    <row r="6" spans="1:15" ht="4.5" customHeight="1" thickBot="1" x14ac:dyDescent="0.4">
      <c r="L6" s="473"/>
      <c r="M6" s="474"/>
      <c r="N6" s="474"/>
      <c r="O6" s="475"/>
    </row>
    <row r="7" spans="1:15" ht="13.75" customHeight="1" x14ac:dyDescent="0.35">
      <c r="B7" s="477" t="s">
        <v>876</v>
      </c>
      <c r="C7" s="477"/>
      <c r="D7" s="477"/>
      <c r="E7" s="477"/>
      <c r="F7" s="477"/>
      <c r="G7" s="477"/>
      <c r="H7" s="477"/>
      <c r="I7" s="477"/>
      <c r="J7" s="477"/>
    </row>
    <row r="8" spans="1:15" ht="90.65" customHeight="1" x14ac:dyDescent="0.35">
      <c r="B8" s="437" t="s">
        <v>1707</v>
      </c>
      <c r="C8" s="437"/>
      <c r="D8" s="437"/>
      <c r="E8" s="437"/>
      <c r="F8" s="437"/>
      <c r="G8" s="437"/>
      <c r="H8" s="437"/>
      <c r="I8" s="437"/>
      <c r="J8" s="437"/>
    </row>
    <row r="9" spans="1:15" ht="2.25" customHeight="1" x14ac:dyDescent="0.35"/>
    <row r="10" spans="1:15" ht="39.75" customHeight="1" x14ac:dyDescent="0.35">
      <c r="B10" s="459" t="s">
        <v>1708</v>
      </c>
      <c r="C10" s="459"/>
      <c r="D10" s="459"/>
      <c r="E10" s="459"/>
      <c r="F10" s="459"/>
      <c r="G10" s="459"/>
      <c r="H10" s="459"/>
      <c r="I10" s="459"/>
      <c r="J10" s="459"/>
    </row>
    <row r="11" spans="1:15" ht="8.25" customHeight="1" x14ac:dyDescent="0.35"/>
    <row r="12" spans="1:15" ht="13.75" customHeight="1" x14ac:dyDescent="0.35">
      <c r="B12" s="477" t="s">
        <v>877</v>
      </c>
      <c r="C12" s="477"/>
      <c r="D12" s="477"/>
      <c r="E12" s="477"/>
      <c r="F12" s="477"/>
      <c r="G12" s="477"/>
      <c r="H12" s="477"/>
      <c r="I12" s="477"/>
      <c r="J12" s="477"/>
    </row>
    <row r="13" spans="1:15" ht="31.5" customHeight="1" x14ac:dyDescent="0.35">
      <c r="B13" s="459" t="s">
        <v>1709</v>
      </c>
      <c r="C13" s="459"/>
      <c r="D13" s="459"/>
      <c r="E13" s="459"/>
      <c r="F13" s="459"/>
      <c r="G13" s="459"/>
      <c r="H13" s="459"/>
      <c r="I13" s="459"/>
      <c r="J13" s="459"/>
    </row>
    <row r="14" spans="1:15" ht="1.5" hidden="1" customHeight="1" x14ac:dyDescent="0.35">
      <c r="B14" s="1"/>
      <c r="C14" s="1"/>
      <c r="D14" s="1"/>
      <c r="E14" s="1"/>
      <c r="F14" s="1"/>
      <c r="G14" s="1"/>
      <c r="H14" s="1"/>
      <c r="I14" s="1"/>
      <c r="J14" s="1"/>
    </row>
    <row r="15" spans="1:15" ht="76.5" customHeight="1" x14ac:dyDescent="0.35">
      <c r="B15" s="459" t="s">
        <v>1710</v>
      </c>
      <c r="C15" s="459"/>
      <c r="D15" s="459"/>
      <c r="E15" s="459"/>
      <c r="F15" s="459"/>
      <c r="G15" s="459"/>
      <c r="H15" s="459"/>
      <c r="I15" s="459"/>
      <c r="J15" s="459"/>
    </row>
    <row r="16" spans="1:15" ht="30.75" customHeight="1" x14ac:dyDescent="0.35">
      <c r="B16" s="478" t="s">
        <v>1711</v>
      </c>
      <c r="C16" s="478"/>
      <c r="D16" s="478"/>
      <c r="E16" s="478"/>
      <c r="F16" s="478"/>
      <c r="G16" s="478"/>
      <c r="H16" s="478"/>
      <c r="I16" s="478"/>
      <c r="J16" s="478"/>
    </row>
    <row r="17" spans="1:10" s="245" customFormat="1" ht="13.75" hidden="1" customHeight="1" x14ac:dyDescent="0.25">
      <c r="B17" s="476" t="s">
        <v>878</v>
      </c>
      <c r="C17" s="476"/>
      <c r="D17" s="476"/>
      <c r="E17" s="476"/>
      <c r="F17" s="476"/>
      <c r="G17" s="476"/>
      <c r="H17" s="476"/>
      <c r="I17" s="476"/>
      <c r="J17" s="476"/>
    </row>
    <row r="18" spans="1:10" s="245" customFormat="1" ht="13.75" hidden="1" customHeight="1" x14ac:dyDescent="0.25">
      <c r="B18" s="476"/>
      <c r="C18" s="476"/>
      <c r="D18" s="476"/>
      <c r="E18" s="476"/>
      <c r="F18" s="476"/>
      <c r="G18" s="476"/>
      <c r="H18" s="476"/>
      <c r="I18" s="476"/>
      <c r="J18" s="476"/>
    </row>
    <row r="19" spans="1:10" s="245" customFormat="1" ht="13.75" hidden="1" customHeight="1" x14ac:dyDescent="0.25">
      <c r="B19" s="476"/>
      <c r="C19" s="476"/>
      <c r="D19" s="476"/>
      <c r="E19" s="476"/>
      <c r="F19" s="476"/>
      <c r="G19" s="476"/>
      <c r="H19" s="476"/>
      <c r="I19" s="476"/>
      <c r="J19" s="476"/>
    </row>
    <row r="20" spans="1:10" s="245" customFormat="1" ht="4.5" hidden="1" customHeight="1" x14ac:dyDescent="0.25">
      <c r="B20" s="307"/>
      <c r="C20" s="307"/>
      <c r="D20" s="307"/>
      <c r="E20" s="307"/>
      <c r="F20" s="307"/>
      <c r="G20" s="307"/>
      <c r="H20" s="307"/>
      <c r="I20" s="307"/>
      <c r="J20" s="307"/>
    </row>
    <row r="21" spans="1:10" s="1" customFormat="1" ht="11.5" x14ac:dyDescent="0.25">
      <c r="B21" s="29" t="s">
        <v>1762</v>
      </c>
      <c r="C21" s="47"/>
      <c r="D21" s="47"/>
      <c r="E21" s="47"/>
      <c r="F21" s="47"/>
      <c r="G21" s="47"/>
      <c r="H21" s="47"/>
      <c r="I21" s="47"/>
      <c r="J21" s="47"/>
    </row>
    <row r="22" spans="1:10" s="1" customFormat="1" ht="13.75" customHeight="1" x14ac:dyDescent="0.25">
      <c r="A22" s="1">
        <f>A1+1</f>
        <v>10</v>
      </c>
      <c r="B22" s="14" t="str">
        <f>"Note "&amp;A22 &amp; " Finance income "</f>
        <v xml:space="preserve">Note 10 Finance income </v>
      </c>
      <c r="D22" s="41"/>
      <c r="F22" s="47"/>
      <c r="G22" s="47"/>
      <c r="H22" s="47"/>
      <c r="I22" s="47"/>
      <c r="J22" s="47"/>
    </row>
    <row r="23" spans="1:10" s="1" customFormat="1" ht="13.75" customHeight="1" x14ac:dyDescent="0.25">
      <c r="B23" s="100" t="s">
        <v>883</v>
      </c>
      <c r="D23" s="41"/>
      <c r="F23" s="47"/>
      <c r="G23" s="47"/>
      <c r="H23" s="47"/>
      <c r="I23" s="47"/>
      <c r="J23" s="47"/>
    </row>
    <row r="24" spans="1:10" s="1" customFormat="1" ht="13.75" customHeight="1" x14ac:dyDescent="0.25">
      <c r="G24" s="80" t="str">
        <f>CurrentFY</f>
        <v>2024/25</v>
      </c>
      <c r="I24" s="80" t="str">
        <f>ComparativeFY</f>
        <v>2023/24</v>
      </c>
    </row>
    <row r="25" spans="1:10" s="1" customFormat="1" ht="13.75" customHeight="1" x14ac:dyDescent="0.25">
      <c r="G25" s="80" t="s">
        <v>542</v>
      </c>
      <c r="I25" s="80" t="s">
        <v>542</v>
      </c>
    </row>
    <row r="26" spans="1:10" s="1" customFormat="1" ht="16.5" customHeight="1" x14ac:dyDescent="0.25">
      <c r="B26" s="112" t="s">
        <v>884</v>
      </c>
      <c r="G26" s="41">
        <v>4405</v>
      </c>
      <c r="I26" s="41">
        <v>4297</v>
      </c>
    </row>
    <row r="27" spans="1:10" s="1" customFormat="1" ht="13.75" hidden="1" customHeight="1" x14ac:dyDescent="0.25">
      <c r="B27" s="216" t="s">
        <v>885</v>
      </c>
      <c r="G27" s="218">
        <v>0</v>
      </c>
      <c r="I27" s="218">
        <v>0</v>
      </c>
    </row>
    <row r="28" spans="1:10" s="1" customFormat="1" ht="13.75" hidden="1" customHeight="1" x14ac:dyDescent="0.25">
      <c r="B28" s="216" t="s">
        <v>886</v>
      </c>
      <c r="G28" s="218">
        <v>0</v>
      </c>
      <c r="I28" s="218">
        <v>0</v>
      </c>
    </row>
    <row r="29" spans="1:10" s="1" customFormat="1" ht="13.75" hidden="1" customHeight="1" x14ac:dyDescent="0.25">
      <c r="B29" s="216" t="s">
        <v>887</v>
      </c>
      <c r="G29" s="218">
        <v>0</v>
      </c>
      <c r="I29" s="218">
        <v>0</v>
      </c>
    </row>
    <row r="30" spans="1:10" s="1" customFormat="1" ht="13.75" hidden="1" customHeight="1" thickBot="1" x14ac:dyDescent="0.3">
      <c r="B30" s="221" t="s">
        <v>888</v>
      </c>
      <c r="G30" s="290">
        <f>SUM(G26:G29)</f>
        <v>4405</v>
      </c>
      <c r="I30" s="290">
        <f>SUM(I26:I29)</f>
        <v>4297</v>
      </c>
    </row>
    <row r="31" spans="1:10" s="1" customFormat="1" ht="13.75" customHeight="1" x14ac:dyDescent="0.25">
      <c r="D31" s="41"/>
      <c r="G31" s="47"/>
      <c r="I31" s="47"/>
    </row>
    <row r="32" spans="1:10" s="1" customFormat="1" ht="13.75" customHeight="1" x14ac:dyDescent="0.25">
      <c r="A32" s="1">
        <f>A22+1</f>
        <v>11</v>
      </c>
      <c r="B32" s="14" t="str">
        <f>"Note "&amp; A32 &amp; " Finance expenditure "</f>
        <v xml:space="preserve">Note 11 Finance expenditure </v>
      </c>
      <c r="D32" s="41"/>
      <c r="F32" s="47"/>
      <c r="G32" s="47"/>
      <c r="H32" s="47"/>
      <c r="I32" s="47"/>
      <c r="J32" s="47"/>
    </row>
    <row r="33" spans="2:10" s="1" customFormat="1" ht="13.75" customHeight="1" x14ac:dyDescent="0.25">
      <c r="B33" s="100" t="s">
        <v>889</v>
      </c>
      <c r="D33" s="41"/>
      <c r="F33" s="47"/>
      <c r="G33" s="47"/>
      <c r="H33" s="47"/>
      <c r="I33" s="47"/>
      <c r="J33" s="47"/>
    </row>
    <row r="34" spans="2:10" s="1" customFormat="1" ht="13.75" customHeight="1" x14ac:dyDescent="0.25">
      <c r="D34" s="41"/>
      <c r="F34" s="47"/>
      <c r="G34" s="80" t="str">
        <f>CurrentFY</f>
        <v>2024/25</v>
      </c>
      <c r="H34" s="47"/>
      <c r="I34" s="80" t="str">
        <f>ComparativeFY</f>
        <v>2023/24</v>
      </c>
      <c r="J34" s="47"/>
    </row>
    <row r="35" spans="2:10" s="1" customFormat="1" ht="13.75" customHeight="1" x14ac:dyDescent="0.25">
      <c r="D35" s="41"/>
      <c r="F35" s="47"/>
      <c r="G35" s="80" t="s">
        <v>542</v>
      </c>
      <c r="H35" s="47"/>
      <c r="I35" s="80" t="s">
        <v>542</v>
      </c>
      <c r="J35" s="47"/>
    </row>
    <row r="36" spans="2:10" s="1" customFormat="1" ht="13.75" customHeight="1" x14ac:dyDescent="0.25">
      <c r="B36" s="14" t="s">
        <v>890</v>
      </c>
      <c r="D36" s="41"/>
      <c r="F36" s="47"/>
      <c r="G36" s="21"/>
      <c r="H36" s="47"/>
      <c r="I36" s="21"/>
      <c r="J36" s="47"/>
    </row>
    <row r="37" spans="2:10" s="1" customFormat="1" ht="13.75" hidden="1" customHeight="1" x14ac:dyDescent="0.25">
      <c r="B37" s="216" t="s">
        <v>1381</v>
      </c>
      <c r="D37" s="218"/>
      <c r="F37" s="47"/>
      <c r="G37" s="218">
        <v>0</v>
      </c>
      <c r="H37" s="47"/>
      <c r="I37" s="218">
        <v>0</v>
      </c>
      <c r="J37" s="47"/>
    </row>
    <row r="38" spans="2:10" s="1" customFormat="1" ht="13.75" hidden="1" customHeight="1" x14ac:dyDescent="0.25">
      <c r="B38" s="216" t="s">
        <v>1382</v>
      </c>
      <c r="D38" s="218"/>
      <c r="F38" s="47"/>
      <c r="G38" s="218">
        <v>0</v>
      </c>
      <c r="H38" s="47"/>
      <c r="I38" s="218">
        <v>0</v>
      </c>
      <c r="J38" s="47"/>
    </row>
    <row r="39" spans="2:10" s="1" customFormat="1" ht="13.75" hidden="1" customHeight="1" x14ac:dyDescent="0.25">
      <c r="B39" s="216" t="s">
        <v>1383</v>
      </c>
      <c r="D39" s="218"/>
      <c r="F39" s="47"/>
      <c r="G39" s="218">
        <v>0</v>
      </c>
      <c r="H39" s="47"/>
      <c r="I39" s="218">
        <v>0</v>
      </c>
      <c r="J39" s="47"/>
    </row>
    <row r="40" spans="2:10" s="1" customFormat="1" ht="13.75" customHeight="1" x14ac:dyDescent="0.25">
      <c r="B40" s="105" t="s">
        <v>1384</v>
      </c>
      <c r="D40" s="41"/>
      <c r="F40" s="47"/>
      <c r="G40" s="41">
        <v>285</v>
      </c>
      <c r="H40" s="47"/>
      <c r="I40" s="41">
        <v>192</v>
      </c>
      <c r="J40" s="47"/>
    </row>
    <row r="41" spans="2:10" s="1" customFormat="1" ht="13.75" hidden="1" customHeight="1" x14ac:dyDescent="0.25">
      <c r="B41" s="216" t="s">
        <v>892</v>
      </c>
      <c r="D41" s="218"/>
      <c r="F41" s="47"/>
      <c r="G41" s="218">
        <v>0</v>
      </c>
      <c r="H41" s="47"/>
      <c r="I41" s="218">
        <v>0</v>
      </c>
      <c r="J41" s="47"/>
    </row>
    <row r="42" spans="2:10" s="1" customFormat="1" ht="13.75" hidden="1" customHeight="1" x14ac:dyDescent="0.25">
      <c r="B42" s="305" t="s">
        <v>1476</v>
      </c>
      <c r="D42" s="218"/>
      <c r="F42" s="47"/>
      <c r="G42" s="218"/>
      <c r="H42" s="47"/>
      <c r="I42" s="218"/>
      <c r="J42" s="47"/>
    </row>
    <row r="43" spans="2:10" s="1" customFormat="1" ht="13.75" hidden="1" customHeight="1" x14ac:dyDescent="0.25">
      <c r="B43" s="216" t="s">
        <v>1451</v>
      </c>
      <c r="D43" s="218"/>
      <c r="F43" s="47"/>
      <c r="G43" s="218">
        <v>0</v>
      </c>
      <c r="H43" s="47"/>
      <c r="I43" s="218">
        <v>0</v>
      </c>
      <c r="J43" s="47"/>
    </row>
    <row r="44" spans="2:10" s="1" customFormat="1" ht="13.75" hidden="1" customHeight="1" x14ac:dyDescent="0.25">
      <c r="B44" s="216" t="s">
        <v>1588</v>
      </c>
      <c r="D44" s="218"/>
      <c r="F44" s="47"/>
      <c r="G44" s="218">
        <v>0</v>
      </c>
      <c r="H44" s="47"/>
      <c r="I44" s="218">
        <v>0</v>
      </c>
      <c r="J44" s="47"/>
    </row>
    <row r="45" spans="2:10" s="1" customFormat="1" ht="13.75" hidden="1" customHeight="1" x14ac:dyDescent="0.25">
      <c r="B45" s="216" t="s">
        <v>1589</v>
      </c>
      <c r="D45" s="218"/>
      <c r="F45" s="47"/>
      <c r="G45" s="218">
        <v>0</v>
      </c>
      <c r="H45" s="47"/>
      <c r="I45" s="218">
        <v>0</v>
      </c>
      <c r="J45" s="47"/>
    </row>
    <row r="46" spans="2:10" s="1" customFormat="1" ht="13.75" hidden="1" customHeight="1" thickBot="1" x14ac:dyDescent="0.3">
      <c r="B46" s="221" t="s">
        <v>893</v>
      </c>
      <c r="D46" s="218"/>
      <c r="F46" s="47"/>
      <c r="G46" s="290">
        <f>SUM(G37:G45)</f>
        <v>285</v>
      </c>
      <c r="H46" s="47"/>
      <c r="I46" s="290">
        <f>SUM(I37:I45)</f>
        <v>192</v>
      </c>
      <c r="J46" s="47"/>
    </row>
    <row r="47" spans="2:10" s="1" customFormat="1" ht="13.75" customHeight="1" x14ac:dyDescent="0.25">
      <c r="B47" s="112" t="s">
        <v>894</v>
      </c>
      <c r="D47" s="41"/>
      <c r="F47" s="47"/>
      <c r="G47" s="41">
        <v>335</v>
      </c>
      <c r="H47" s="47"/>
      <c r="I47" s="41">
        <v>248</v>
      </c>
      <c r="J47" s="47"/>
    </row>
    <row r="48" spans="2:10" s="1" customFormat="1" ht="12" hidden="1" customHeight="1" x14ac:dyDescent="0.25">
      <c r="B48" s="216" t="s">
        <v>895</v>
      </c>
      <c r="D48" s="218"/>
      <c r="F48" s="47"/>
      <c r="G48" s="218">
        <v>0</v>
      </c>
      <c r="H48" s="47"/>
      <c r="I48" s="218" t="s">
        <v>462</v>
      </c>
      <c r="J48" s="47"/>
    </row>
    <row r="49" spans="1:10" s="1" customFormat="1" ht="13.75" customHeight="1" thickBot="1" x14ac:dyDescent="0.3">
      <c r="B49" s="93" t="s">
        <v>896</v>
      </c>
      <c r="D49" s="41"/>
      <c r="F49" s="47"/>
      <c r="G49" s="42">
        <f>SUM(G46:G48)</f>
        <v>620</v>
      </c>
      <c r="H49" s="47"/>
      <c r="I49" s="42">
        <f>SUM(I46:I48)</f>
        <v>440</v>
      </c>
      <c r="J49" s="47"/>
    </row>
    <row r="50" spans="1:10" s="1" customFormat="1" ht="13.75" hidden="1" customHeight="1" thickTop="1" x14ac:dyDescent="0.25">
      <c r="D50" s="41"/>
      <c r="F50" s="47"/>
      <c r="G50" s="23"/>
      <c r="H50" s="47"/>
      <c r="I50" s="23"/>
      <c r="J50" s="47"/>
    </row>
    <row r="51" spans="1:10" s="1" customFormat="1" ht="13.75" customHeight="1" thickTop="1" x14ac:dyDescent="0.25">
      <c r="D51" s="41"/>
      <c r="F51" s="47"/>
      <c r="G51" s="23"/>
      <c r="H51" s="47"/>
      <c r="I51" s="23"/>
      <c r="J51" s="47"/>
    </row>
    <row r="52" spans="1:10" s="1" customFormat="1" ht="13.75" hidden="1" customHeight="1" x14ac:dyDescent="0.35">
      <c r="B52" s="221" t="str">
        <f>"Note "&amp; A52 &amp; " The late payment of commercial debts (interest) Act 1998"</f>
        <v>Note  The late payment of commercial debts (interest) Act 1998</v>
      </c>
      <c r="D52" s="306"/>
      <c r="F52" s="47"/>
      <c r="G52" s="306"/>
      <c r="H52" s="47"/>
      <c r="I52" s="306"/>
      <c r="J52" s="47"/>
    </row>
    <row r="53" spans="1:10" s="1" customFormat="1" ht="13.75" hidden="1" customHeight="1" x14ac:dyDescent="0.25">
      <c r="B53" s="245"/>
      <c r="D53" s="218"/>
      <c r="F53" s="47"/>
      <c r="G53" s="266" t="str">
        <f>CurrentFY</f>
        <v>2024/25</v>
      </c>
      <c r="H53" s="47"/>
      <c r="I53" s="266" t="str">
        <f>ComparativeFY</f>
        <v>2023/24</v>
      </c>
      <c r="J53" s="47"/>
    </row>
    <row r="54" spans="1:10" s="1" customFormat="1" ht="13.75" hidden="1" customHeight="1" x14ac:dyDescent="0.25">
      <c r="B54" s="245"/>
      <c r="D54" s="218"/>
      <c r="F54" s="47"/>
      <c r="G54" s="266" t="s">
        <v>542</v>
      </c>
      <c r="H54" s="47"/>
      <c r="I54" s="266" t="s">
        <v>542</v>
      </c>
      <c r="J54" s="47"/>
    </row>
    <row r="55" spans="1:10" s="1" customFormat="1" ht="13.75" hidden="1" customHeight="1" x14ac:dyDescent="0.25">
      <c r="B55" s="224" t="s">
        <v>897</v>
      </c>
      <c r="D55" s="218"/>
      <c r="F55" s="47"/>
      <c r="G55" s="218">
        <v>-160</v>
      </c>
      <c r="H55" s="47"/>
      <c r="I55" s="218">
        <v>0</v>
      </c>
      <c r="J55" s="47"/>
    </row>
    <row r="56" spans="1:10" s="1" customFormat="1" ht="13.75" hidden="1" customHeight="1" x14ac:dyDescent="0.25">
      <c r="B56" s="216" t="s">
        <v>898</v>
      </c>
      <c r="D56" s="218"/>
      <c r="F56" s="47"/>
      <c r="G56" s="218">
        <v>0</v>
      </c>
      <c r="H56" s="47"/>
      <c r="I56" s="218">
        <v>0</v>
      </c>
      <c r="J56" s="47"/>
    </row>
    <row r="57" spans="1:10" s="1" customFormat="1" ht="13.75" hidden="1" customHeight="1" x14ac:dyDescent="0.25">
      <c r="B57" s="216" t="s">
        <v>899</v>
      </c>
      <c r="D57" s="218"/>
      <c r="F57" s="47"/>
      <c r="G57" s="218">
        <v>-5</v>
      </c>
      <c r="H57" s="47"/>
      <c r="I57" s="218">
        <v>0</v>
      </c>
      <c r="J57" s="47"/>
    </row>
    <row r="58" spans="1:10" s="1" customFormat="1" ht="13.75" hidden="1" customHeight="1" x14ac:dyDescent="0.25">
      <c r="B58" s="245"/>
      <c r="D58" s="218"/>
      <c r="F58" s="47"/>
      <c r="G58" s="301"/>
      <c r="H58" s="47"/>
      <c r="I58" s="301"/>
      <c r="J58" s="47"/>
    </row>
    <row r="59" spans="1:10" s="1" customFormat="1" ht="13.75" customHeight="1" x14ac:dyDescent="0.35">
      <c r="A59" s="1">
        <f>A32+1</f>
        <v>12</v>
      </c>
      <c r="B59" s="14" t="str">
        <f>"Note "&amp; A59 &amp; " Other gains / (losses) "</f>
        <v xml:space="preserve">Note 12 Other gains / (losses) </v>
      </c>
      <c r="D59" s="175"/>
      <c r="F59" s="47"/>
      <c r="G59" s="175"/>
      <c r="H59" s="47"/>
      <c r="I59" s="175"/>
      <c r="J59" s="47"/>
    </row>
    <row r="60" spans="1:10" s="1" customFormat="1" ht="13.75" customHeight="1" x14ac:dyDescent="0.25">
      <c r="D60" s="41"/>
      <c r="F60" s="47"/>
      <c r="G60" s="80" t="str">
        <f>CurrentFY</f>
        <v>2024/25</v>
      </c>
      <c r="H60" s="47"/>
      <c r="I60" s="80" t="str">
        <f>ComparativeFY</f>
        <v>2023/24</v>
      </c>
      <c r="J60" s="47"/>
    </row>
    <row r="61" spans="1:10" s="1" customFormat="1" ht="13.75" customHeight="1" x14ac:dyDescent="0.25">
      <c r="D61" s="41"/>
      <c r="F61" s="47"/>
      <c r="G61" s="80" t="s">
        <v>542</v>
      </c>
      <c r="H61" s="47"/>
      <c r="I61" s="80" t="s">
        <v>542</v>
      </c>
      <c r="J61" s="47"/>
    </row>
    <row r="62" spans="1:10" s="1" customFormat="1" ht="13.75" customHeight="1" x14ac:dyDescent="0.25">
      <c r="B62" s="105" t="s">
        <v>900</v>
      </c>
      <c r="D62" s="41"/>
      <c r="F62" s="47"/>
      <c r="G62" s="41">
        <v>556</v>
      </c>
      <c r="H62" s="47"/>
      <c r="I62" s="41">
        <v>32</v>
      </c>
      <c r="J62" s="47"/>
    </row>
    <row r="63" spans="1:10" s="1" customFormat="1" ht="11.5" x14ac:dyDescent="0.25">
      <c r="B63" s="112" t="s">
        <v>901</v>
      </c>
      <c r="D63" s="41"/>
      <c r="F63" s="47"/>
      <c r="G63" s="41">
        <v>-224</v>
      </c>
      <c r="H63" s="47"/>
      <c r="I63" s="41">
        <v>-163</v>
      </c>
      <c r="J63" s="47"/>
    </row>
    <row r="64" spans="1:10" s="1" customFormat="1" ht="13.75" customHeight="1" x14ac:dyDescent="0.25">
      <c r="B64" s="93" t="s">
        <v>902</v>
      </c>
      <c r="D64" s="41"/>
      <c r="F64" s="47"/>
      <c r="G64" s="43">
        <f>SUM(G62:G63)</f>
        <v>332</v>
      </c>
      <c r="H64" s="47"/>
      <c r="I64" s="43">
        <f>SUM(I62:I63)</f>
        <v>-131</v>
      </c>
      <c r="J64" s="47"/>
    </row>
    <row r="65" spans="2:10" s="1" customFormat="1" ht="13.75" hidden="1" customHeight="1" x14ac:dyDescent="0.25">
      <c r="B65" s="216" t="s">
        <v>903</v>
      </c>
      <c r="D65" s="218"/>
      <c r="F65" s="47"/>
      <c r="G65" s="218" t="s">
        <v>1745</v>
      </c>
      <c r="H65" s="47"/>
      <c r="I65" s="218">
        <v>0</v>
      </c>
      <c r="J65" s="47"/>
    </row>
    <row r="66" spans="2:10" s="1" customFormat="1" ht="13.75" customHeight="1" x14ac:dyDescent="0.25">
      <c r="B66" s="112" t="s">
        <v>904</v>
      </c>
      <c r="D66" s="41"/>
      <c r="F66" s="47"/>
      <c r="G66" s="41">
        <v>0</v>
      </c>
      <c r="H66" s="47"/>
      <c r="I66" s="41">
        <v>-160</v>
      </c>
      <c r="J66" s="47"/>
    </row>
    <row r="67" spans="2:10" s="1" customFormat="1" ht="13.75" hidden="1" customHeight="1" x14ac:dyDescent="0.25">
      <c r="B67" s="216" t="s">
        <v>905</v>
      </c>
      <c r="D67" s="218"/>
      <c r="F67" s="47"/>
      <c r="G67" s="218" t="s">
        <v>1443</v>
      </c>
      <c r="H67" s="47"/>
      <c r="I67" s="218">
        <v>0</v>
      </c>
      <c r="J67" s="47"/>
    </row>
    <row r="68" spans="2:10" s="1" customFormat="1" ht="13.75" hidden="1" customHeight="1" x14ac:dyDescent="0.25">
      <c r="B68" s="216" t="s">
        <v>906</v>
      </c>
      <c r="D68" s="218"/>
      <c r="F68" s="47"/>
      <c r="G68" s="218">
        <v>0</v>
      </c>
      <c r="H68" s="47"/>
      <c r="I68" s="218">
        <v>0</v>
      </c>
      <c r="J68" s="47"/>
    </row>
    <row r="69" spans="2:10" s="1" customFormat="1" ht="13.75" hidden="1" customHeight="1" x14ac:dyDescent="0.25">
      <c r="B69" s="216" t="s">
        <v>907</v>
      </c>
      <c r="D69" s="218"/>
      <c r="F69" s="47"/>
      <c r="G69" s="218">
        <v>0</v>
      </c>
      <c r="H69" s="47"/>
      <c r="I69" s="218">
        <v>0</v>
      </c>
      <c r="J69" s="47"/>
    </row>
    <row r="70" spans="2:10" s="1" customFormat="1" ht="13.75" hidden="1" customHeight="1" x14ac:dyDescent="0.25">
      <c r="B70" s="216" t="s">
        <v>1322</v>
      </c>
      <c r="D70" s="218"/>
      <c r="F70" s="47"/>
      <c r="G70" s="218">
        <v>0</v>
      </c>
      <c r="H70" s="47"/>
      <c r="I70" s="218">
        <v>0</v>
      </c>
      <c r="J70" s="47"/>
    </row>
    <row r="71" spans="2:10" s="1" customFormat="1" ht="13.75" hidden="1" customHeight="1" x14ac:dyDescent="0.25">
      <c r="B71" s="216" t="s">
        <v>1323</v>
      </c>
      <c r="D71" s="218"/>
      <c r="F71" s="47"/>
      <c r="G71" s="218">
        <v>0</v>
      </c>
      <c r="H71" s="47"/>
      <c r="I71" s="218">
        <v>0</v>
      </c>
      <c r="J71" s="47"/>
    </row>
    <row r="72" spans="2:10" s="1" customFormat="1" ht="13.75" hidden="1" customHeight="1" x14ac:dyDescent="0.25">
      <c r="B72" s="216" t="s">
        <v>471</v>
      </c>
      <c r="D72" s="218"/>
      <c r="F72" s="47"/>
      <c r="G72" s="218">
        <v>0</v>
      </c>
      <c r="H72" s="47"/>
      <c r="I72" s="218">
        <v>0</v>
      </c>
      <c r="J72" s="47"/>
    </row>
    <row r="73" spans="2:10" s="1" customFormat="1" ht="13.75" customHeight="1" thickBot="1" x14ac:dyDescent="0.3">
      <c r="B73" s="93" t="s">
        <v>908</v>
      </c>
      <c r="D73" s="41"/>
      <c r="F73" s="47"/>
      <c r="G73" s="42">
        <f>SUM(G64:G72)</f>
        <v>332</v>
      </c>
      <c r="H73" s="47"/>
      <c r="I73" s="42">
        <f>SUM(I64:I72)</f>
        <v>-291</v>
      </c>
      <c r="J73" s="47"/>
    </row>
    <row r="74" spans="2:10" s="1" customFormat="1" ht="13.75" customHeight="1" thickTop="1" x14ac:dyDescent="0.25">
      <c r="B74" s="47"/>
      <c r="C74" s="47"/>
      <c r="D74" s="47"/>
      <c r="E74" s="47"/>
      <c r="F74" s="47"/>
      <c r="G74" s="47"/>
      <c r="H74" s="47"/>
      <c r="I74" s="47"/>
      <c r="J74" s="47"/>
    </row>
    <row r="75" spans="2:10" s="1" customFormat="1" ht="13.75" customHeight="1" x14ac:dyDescent="0.25">
      <c r="B75" s="47"/>
      <c r="C75" s="47"/>
      <c r="D75" s="47"/>
      <c r="E75" s="47"/>
      <c r="F75" s="47"/>
      <c r="G75" s="47"/>
      <c r="H75" s="47"/>
      <c r="I75" s="47"/>
      <c r="J75" s="47"/>
    </row>
    <row r="76" spans="2:10" s="1" customFormat="1" ht="13.75" customHeight="1" x14ac:dyDescent="0.25">
      <c r="B76" s="47"/>
      <c r="C76" s="47"/>
      <c r="D76" s="47"/>
      <c r="E76" s="47"/>
      <c r="F76" s="47"/>
      <c r="G76" s="47"/>
      <c r="H76" s="47"/>
      <c r="I76" s="47"/>
      <c r="J76" s="47"/>
    </row>
    <row r="77" spans="2:10" s="1" customFormat="1" ht="13.75" customHeight="1" x14ac:dyDescent="0.25">
      <c r="B77" s="47"/>
      <c r="C77" s="47"/>
      <c r="D77" s="47"/>
      <c r="E77" s="47"/>
      <c r="F77" s="47"/>
      <c r="G77" s="47"/>
      <c r="H77" s="47"/>
      <c r="I77" s="47"/>
      <c r="J77" s="47"/>
    </row>
    <row r="78" spans="2:10" s="1" customFormat="1" ht="13.75" customHeight="1" x14ac:dyDescent="0.25">
      <c r="B78" s="47"/>
      <c r="C78" s="47"/>
      <c r="D78" s="47"/>
      <c r="E78" s="47"/>
      <c r="F78" s="47"/>
      <c r="G78" s="47"/>
      <c r="H78" s="47"/>
      <c r="I78" s="47"/>
      <c r="J78" s="47"/>
    </row>
    <row r="79" spans="2:10" s="1" customFormat="1" ht="13.75" customHeight="1" x14ac:dyDescent="0.25">
      <c r="B79" s="47"/>
      <c r="C79" s="47"/>
      <c r="D79" s="47"/>
      <c r="E79" s="47"/>
      <c r="F79" s="47"/>
      <c r="G79" s="47"/>
      <c r="H79" s="47"/>
      <c r="I79" s="47"/>
      <c r="J79" s="47"/>
    </row>
    <row r="80" spans="2:10" s="1" customFormat="1" ht="13.75" customHeight="1" x14ac:dyDescent="0.25">
      <c r="B80" s="47"/>
      <c r="C80" s="47"/>
      <c r="D80" s="47"/>
      <c r="E80" s="47"/>
      <c r="F80" s="47"/>
      <c r="G80" s="47"/>
      <c r="H80" s="47"/>
      <c r="I80" s="47"/>
      <c r="J80" s="47"/>
    </row>
    <row r="81" spans="2:10" s="1" customFormat="1" ht="13.75" customHeight="1" x14ac:dyDescent="0.25">
      <c r="B81" s="47"/>
      <c r="C81" s="47"/>
      <c r="D81" s="47"/>
      <c r="E81" s="47"/>
      <c r="F81" s="47"/>
      <c r="G81" s="47"/>
      <c r="H81" s="47"/>
      <c r="I81" s="47"/>
      <c r="J81" s="47"/>
    </row>
    <row r="82" spans="2:10" s="1" customFormat="1" ht="13.75" customHeight="1" x14ac:dyDescent="0.25">
      <c r="B82" s="47"/>
      <c r="C82" s="47"/>
      <c r="D82" s="47"/>
      <c r="E82" s="47"/>
      <c r="F82" s="47"/>
      <c r="G82" s="47"/>
      <c r="H82" s="47"/>
      <c r="I82" s="47"/>
      <c r="J82" s="47"/>
    </row>
    <row r="83" spans="2:10" s="1" customFormat="1" ht="13.75" customHeight="1" x14ac:dyDescent="0.25">
      <c r="B83" s="47"/>
      <c r="C83" s="47"/>
      <c r="D83" s="47"/>
      <c r="E83" s="47"/>
      <c r="F83" s="47"/>
      <c r="G83" s="47"/>
      <c r="H83" s="47"/>
      <c r="I83" s="47"/>
      <c r="J83" s="47"/>
    </row>
    <row r="84" spans="2:10" s="1" customFormat="1" ht="13.75" customHeight="1" x14ac:dyDescent="0.25">
      <c r="B84" s="47"/>
      <c r="C84" s="47"/>
      <c r="D84" s="47"/>
      <c r="E84" s="47"/>
      <c r="F84" s="47"/>
      <c r="G84" s="47"/>
      <c r="H84" s="47"/>
      <c r="I84" s="47"/>
      <c r="J84" s="47"/>
    </row>
    <row r="85" spans="2:10" s="1" customFormat="1" ht="13.75" customHeight="1" x14ac:dyDescent="0.25">
      <c r="B85" s="47"/>
      <c r="C85" s="47"/>
      <c r="D85" s="47"/>
      <c r="E85" s="47"/>
      <c r="F85" s="47"/>
      <c r="G85" s="47"/>
      <c r="H85" s="47"/>
      <c r="I85" s="47"/>
      <c r="J85" s="47"/>
    </row>
    <row r="86" spans="2:10" s="1" customFormat="1" ht="13.75" customHeight="1" x14ac:dyDescent="0.25">
      <c r="B86" s="47"/>
      <c r="C86" s="47"/>
      <c r="D86" s="47"/>
      <c r="E86" s="47"/>
      <c r="F86" s="47"/>
      <c r="G86" s="47"/>
      <c r="H86" s="47"/>
      <c r="I86" s="47"/>
      <c r="J86" s="47"/>
    </row>
    <row r="87" spans="2:10" s="1" customFormat="1" ht="13.75" customHeight="1" x14ac:dyDescent="0.25">
      <c r="B87" s="47"/>
      <c r="C87" s="47"/>
      <c r="D87" s="47"/>
      <c r="E87" s="47"/>
      <c r="F87" s="47"/>
      <c r="G87" s="47"/>
      <c r="H87" s="47"/>
      <c r="I87" s="47"/>
      <c r="J87" s="47"/>
    </row>
    <row r="88" spans="2:10" s="1" customFormat="1" ht="13.75" customHeight="1" x14ac:dyDescent="0.25">
      <c r="B88" s="47"/>
      <c r="C88" s="47"/>
      <c r="D88" s="47"/>
      <c r="E88" s="47"/>
      <c r="F88" s="47"/>
      <c r="G88" s="47"/>
      <c r="H88" s="47"/>
      <c r="I88" s="47"/>
      <c r="J88" s="47"/>
    </row>
    <row r="89" spans="2:10" s="1" customFormat="1" ht="13.75" customHeight="1" x14ac:dyDescent="0.25">
      <c r="B89" s="47"/>
      <c r="C89" s="47"/>
      <c r="D89" s="47"/>
      <c r="E89" s="47"/>
      <c r="F89" s="47"/>
      <c r="G89" s="47"/>
      <c r="H89" s="47"/>
      <c r="I89" s="47"/>
      <c r="J89" s="47"/>
    </row>
    <row r="90" spans="2:10" s="1" customFormat="1" ht="13.75" customHeight="1" x14ac:dyDescent="0.25">
      <c r="B90" s="47"/>
      <c r="C90" s="47"/>
      <c r="D90" s="47"/>
      <c r="E90" s="47"/>
      <c r="F90" s="47"/>
      <c r="G90" s="47"/>
      <c r="H90" s="47"/>
      <c r="I90" s="47"/>
      <c r="J90" s="47"/>
    </row>
    <row r="91" spans="2:10" s="1" customFormat="1" ht="13.75" customHeight="1" x14ac:dyDescent="0.25">
      <c r="B91" s="47"/>
      <c r="C91" s="47"/>
      <c r="D91" s="47"/>
      <c r="E91" s="47"/>
      <c r="F91" s="47"/>
      <c r="G91" s="47"/>
      <c r="H91" s="47"/>
      <c r="I91" s="47"/>
      <c r="J91" s="47"/>
    </row>
    <row r="92" spans="2:10" s="1" customFormat="1" ht="13.75" customHeight="1" x14ac:dyDescent="0.25">
      <c r="B92" s="47"/>
      <c r="C92" s="47"/>
      <c r="D92" s="47"/>
      <c r="E92" s="47"/>
      <c r="F92" s="47"/>
      <c r="G92" s="47"/>
      <c r="H92" s="47"/>
      <c r="I92" s="47"/>
      <c r="J92" s="47"/>
    </row>
    <row r="93" spans="2:10" s="1" customFormat="1" ht="13.75" customHeight="1" x14ac:dyDescent="0.25">
      <c r="B93" s="47"/>
      <c r="C93" s="47"/>
      <c r="D93" s="47"/>
      <c r="E93" s="47"/>
      <c r="F93" s="47"/>
      <c r="G93" s="47"/>
      <c r="H93" s="47"/>
      <c r="I93" s="47"/>
      <c r="J93" s="47"/>
    </row>
    <row r="94" spans="2:10" s="1" customFormat="1" ht="13.75" customHeight="1" x14ac:dyDescent="0.25">
      <c r="B94" s="47"/>
      <c r="C94" s="47"/>
      <c r="D94" s="47"/>
      <c r="E94" s="47"/>
      <c r="F94" s="47"/>
      <c r="G94" s="47"/>
      <c r="H94" s="47"/>
      <c r="I94" s="47"/>
      <c r="J94" s="47"/>
    </row>
    <row r="95" spans="2:10" s="1" customFormat="1" ht="13.75" customHeight="1" x14ac:dyDescent="0.25">
      <c r="B95" s="47"/>
      <c r="C95" s="47"/>
      <c r="D95" s="47"/>
      <c r="E95" s="47"/>
      <c r="F95" s="47"/>
      <c r="G95" s="47"/>
      <c r="H95" s="47"/>
      <c r="I95" s="47"/>
      <c r="J95" s="47"/>
    </row>
    <row r="96" spans="2:10" s="1" customFormat="1" ht="13.75" customHeight="1" x14ac:dyDescent="0.25">
      <c r="B96" s="47"/>
      <c r="C96" s="47"/>
      <c r="D96" s="47"/>
      <c r="E96" s="47"/>
      <c r="F96" s="47"/>
      <c r="G96" s="47"/>
      <c r="H96" s="47"/>
      <c r="I96" s="47"/>
      <c r="J96" s="47"/>
    </row>
    <row r="97" spans="2:10" s="1" customFormat="1" ht="13.75" customHeight="1" x14ac:dyDescent="0.25">
      <c r="B97" s="47"/>
      <c r="C97" s="47"/>
      <c r="D97" s="47"/>
      <c r="E97" s="47"/>
      <c r="F97" s="47"/>
      <c r="G97" s="47"/>
      <c r="H97" s="47"/>
      <c r="I97" s="47"/>
      <c r="J97" s="47"/>
    </row>
    <row r="98" spans="2:10" s="1" customFormat="1" ht="13.75" customHeight="1" x14ac:dyDescent="0.25">
      <c r="B98" s="47"/>
      <c r="C98" s="47"/>
      <c r="D98" s="47"/>
      <c r="E98" s="47"/>
      <c r="F98" s="47"/>
      <c r="G98" s="47"/>
      <c r="H98" s="47"/>
      <c r="I98" s="47"/>
      <c r="J98" s="47"/>
    </row>
    <row r="99" spans="2:10" s="1" customFormat="1" ht="13.75" customHeight="1" x14ac:dyDescent="0.25">
      <c r="B99" s="47"/>
      <c r="C99" s="47"/>
      <c r="D99" s="47"/>
      <c r="E99" s="47"/>
      <c r="F99" s="47"/>
      <c r="G99" s="47"/>
      <c r="H99" s="47"/>
      <c r="I99" s="47"/>
      <c r="J99" s="47"/>
    </row>
    <row r="100" spans="2:10" s="1" customFormat="1" ht="13.75" customHeight="1" x14ac:dyDescent="0.25">
      <c r="B100" s="47"/>
      <c r="C100" s="47"/>
      <c r="D100" s="47"/>
      <c r="E100" s="47"/>
      <c r="F100" s="47"/>
      <c r="G100" s="47"/>
      <c r="H100" s="47"/>
      <c r="I100" s="47"/>
      <c r="J100" s="47"/>
    </row>
    <row r="101" spans="2:10" s="1" customFormat="1" ht="13.75" customHeight="1" x14ac:dyDescent="0.25">
      <c r="B101" s="47"/>
      <c r="C101" s="47"/>
      <c r="D101" s="47"/>
      <c r="E101" s="47"/>
      <c r="F101" s="47"/>
      <c r="G101" s="47"/>
      <c r="H101" s="47"/>
      <c r="I101" s="47"/>
      <c r="J101" s="47"/>
    </row>
    <row r="102" spans="2:10" s="1" customFormat="1" ht="13.75" customHeight="1" x14ac:dyDescent="0.25">
      <c r="B102" s="47"/>
      <c r="C102" s="47"/>
      <c r="D102" s="47"/>
      <c r="E102" s="47"/>
      <c r="F102" s="47"/>
      <c r="G102" s="47"/>
      <c r="H102" s="47"/>
      <c r="I102" s="47"/>
      <c r="J102" s="47"/>
    </row>
    <row r="103" spans="2:10" s="1" customFormat="1" ht="13.75" customHeight="1" x14ac:dyDescent="0.25">
      <c r="B103" s="47"/>
      <c r="C103" s="47"/>
      <c r="D103" s="47"/>
      <c r="E103" s="47"/>
      <c r="F103" s="47"/>
      <c r="G103" s="47"/>
      <c r="H103" s="47"/>
      <c r="I103" s="47"/>
      <c r="J103" s="47"/>
    </row>
    <row r="104" spans="2:10" s="1" customFormat="1" ht="13.75" customHeight="1" x14ac:dyDescent="0.25">
      <c r="B104" s="47"/>
      <c r="C104" s="47"/>
      <c r="D104" s="47"/>
      <c r="E104" s="47"/>
      <c r="F104" s="47"/>
      <c r="G104" s="47"/>
      <c r="H104" s="47"/>
      <c r="I104" s="47"/>
      <c r="J104" s="47"/>
    </row>
    <row r="105" spans="2:10" s="1" customFormat="1" ht="13.75" customHeight="1" x14ac:dyDescent="0.25">
      <c r="B105" s="47"/>
      <c r="C105" s="47"/>
      <c r="D105" s="47"/>
      <c r="E105" s="47"/>
      <c r="F105" s="47"/>
      <c r="G105" s="47"/>
      <c r="H105" s="47"/>
      <c r="I105" s="47"/>
      <c r="J105" s="47"/>
    </row>
    <row r="106" spans="2:10" s="1" customFormat="1" ht="13.75" customHeight="1" x14ac:dyDescent="0.25">
      <c r="B106" s="47"/>
      <c r="C106" s="47"/>
      <c r="D106" s="47"/>
      <c r="E106" s="47"/>
      <c r="F106" s="47"/>
      <c r="G106" s="47"/>
      <c r="H106" s="47"/>
      <c r="I106" s="47"/>
      <c r="J106" s="47"/>
    </row>
    <row r="107" spans="2:10" s="1" customFormat="1" ht="13.75" customHeight="1" x14ac:dyDescent="0.25">
      <c r="B107" s="47"/>
      <c r="C107" s="47"/>
      <c r="D107" s="47"/>
      <c r="E107" s="47"/>
      <c r="F107" s="47"/>
      <c r="G107" s="47"/>
      <c r="H107" s="47"/>
      <c r="I107" s="47"/>
      <c r="J107" s="47"/>
    </row>
    <row r="108" spans="2:10" s="1" customFormat="1" ht="13.75" customHeight="1" x14ac:dyDescent="0.25">
      <c r="B108" s="47"/>
      <c r="C108" s="47"/>
      <c r="D108" s="47"/>
      <c r="E108" s="47"/>
      <c r="F108" s="47"/>
      <c r="G108" s="47"/>
      <c r="H108" s="47"/>
      <c r="I108" s="47"/>
      <c r="J108" s="47"/>
    </row>
    <row r="109" spans="2:10" s="1" customFormat="1" ht="13.75" customHeight="1" x14ac:dyDescent="0.25">
      <c r="B109" s="47"/>
      <c r="C109" s="47"/>
      <c r="D109" s="47"/>
      <c r="E109" s="47"/>
      <c r="F109" s="47"/>
      <c r="G109" s="47"/>
      <c r="H109" s="47"/>
      <c r="I109" s="47"/>
      <c r="J109" s="47"/>
    </row>
    <row r="110" spans="2:10" s="1" customFormat="1" ht="13.75" customHeight="1" x14ac:dyDescent="0.25">
      <c r="B110" s="47"/>
      <c r="C110" s="47"/>
      <c r="D110" s="47"/>
      <c r="E110" s="47"/>
      <c r="F110" s="47"/>
      <c r="G110" s="47"/>
      <c r="H110" s="47"/>
      <c r="I110" s="47"/>
      <c r="J110" s="47"/>
    </row>
    <row r="111" spans="2:10" s="1" customFormat="1" ht="13.75" customHeight="1" x14ac:dyDescent="0.25">
      <c r="B111" s="47"/>
      <c r="C111" s="47"/>
      <c r="D111" s="47"/>
      <c r="E111" s="47"/>
      <c r="F111" s="47"/>
      <c r="G111" s="47"/>
      <c r="H111" s="47"/>
      <c r="I111" s="47"/>
      <c r="J111" s="47"/>
    </row>
    <row r="112" spans="2:10" s="1" customFormat="1" ht="13.75" customHeight="1" x14ac:dyDescent="0.25">
      <c r="B112" s="47"/>
      <c r="C112" s="47"/>
      <c r="D112" s="47"/>
      <c r="E112" s="47"/>
      <c r="F112" s="47"/>
      <c r="G112" s="47"/>
      <c r="H112" s="47"/>
      <c r="I112" s="47"/>
      <c r="J112" s="47"/>
    </row>
    <row r="113" spans="2:10" s="1" customFormat="1" ht="13.75" customHeight="1" x14ac:dyDescent="0.25">
      <c r="B113" s="47"/>
      <c r="C113" s="47"/>
      <c r="D113" s="47"/>
      <c r="E113" s="47"/>
      <c r="F113" s="47"/>
      <c r="G113" s="47"/>
      <c r="H113" s="47"/>
      <c r="I113" s="47"/>
      <c r="J113" s="47"/>
    </row>
    <row r="114" spans="2:10" s="1" customFormat="1" ht="13.75" customHeight="1" x14ac:dyDescent="0.25">
      <c r="B114" s="47"/>
      <c r="C114" s="47"/>
      <c r="D114" s="47"/>
      <c r="E114" s="47"/>
      <c r="F114" s="47"/>
      <c r="G114" s="47"/>
      <c r="H114" s="47"/>
      <c r="I114" s="47"/>
      <c r="J114" s="47"/>
    </row>
    <row r="115" spans="2:10" s="1" customFormat="1" ht="13.75" customHeight="1" x14ac:dyDescent="0.25">
      <c r="B115" s="47"/>
      <c r="C115" s="47"/>
      <c r="D115" s="47"/>
      <c r="E115" s="47"/>
      <c r="F115" s="47"/>
      <c r="G115" s="47"/>
      <c r="H115" s="47"/>
      <c r="I115" s="47"/>
      <c r="J115" s="47"/>
    </row>
    <row r="116" spans="2:10" s="1" customFormat="1" ht="13.75" customHeight="1" x14ac:dyDescent="0.25">
      <c r="B116" s="47"/>
      <c r="C116" s="47"/>
      <c r="D116" s="47"/>
      <c r="E116" s="47"/>
      <c r="F116" s="47"/>
      <c r="G116" s="47"/>
      <c r="H116" s="47"/>
      <c r="I116" s="47"/>
      <c r="J116" s="47"/>
    </row>
    <row r="117" spans="2:10" s="1" customFormat="1" ht="13.75" customHeight="1" x14ac:dyDescent="0.25">
      <c r="B117" s="47"/>
      <c r="C117" s="47"/>
      <c r="D117" s="47"/>
      <c r="E117" s="47"/>
      <c r="F117" s="47"/>
      <c r="G117" s="47"/>
      <c r="H117" s="47"/>
      <c r="I117" s="47"/>
      <c r="J117" s="47"/>
    </row>
    <row r="118" spans="2:10" s="1" customFormat="1" ht="13.75" customHeight="1" x14ac:dyDescent="0.25">
      <c r="B118" s="47"/>
      <c r="C118" s="47"/>
      <c r="D118" s="47"/>
      <c r="E118" s="47"/>
      <c r="F118" s="47"/>
      <c r="G118" s="47"/>
      <c r="H118" s="47"/>
      <c r="I118" s="47"/>
      <c r="J118" s="47"/>
    </row>
    <row r="119" spans="2:10" s="1" customFormat="1" ht="13.75" customHeight="1" x14ac:dyDescent="0.25">
      <c r="B119" s="47"/>
      <c r="C119" s="47"/>
      <c r="D119" s="47"/>
      <c r="E119" s="47"/>
      <c r="F119" s="47"/>
      <c r="G119" s="47"/>
      <c r="H119" s="47"/>
      <c r="I119" s="47"/>
      <c r="J119" s="47"/>
    </row>
    <row r="120" spans="2:10" s="1" customFormat="1" ht="13.75" customHeight="1" x14ac:dyDescent="0.25">
      <c r="B120" s="47"/>
      <c r="C120" s="47"/>
      <c r="D120" s="47"/>
      <c r="E120" s="47"/>
      <c r="F120" s="47"/>
      <c r="G120" s="47"/>
      <c r="H120" s="47"/>
      <c r="I120" s="47"/>
      <c r="J120" s="47"/>
    </row>
    <row r="121" spans="2:10" s="1" customFormat="1" ht="13.75" customHeight="1" x14ac:dyDescent="0.25">
      <c r="B121" s="47"/>
      <c r="C121" s="47"/>
      <c r="D121" s="47"/>
      <c r="E121" s="47"/>
      <c r="F121" s="47"/>
      <c r="G121" s="47"/>
      <c r="H121" s="47"/>
      <c r="I121" s="47"/>
      <c r="J121" s="47"/>
    </row>
    <row r="122" spans="2:10" s="1" customFormat="1" ht="13.75" customHeight="1" x14ac:dyDescent="0.25">
      <c r="B122" s="47"/>
      <c r="C122" s="47"/>
      <c r="D122" s="47"/>
      <c r="E122" s="47"/>
      <c r="F122" s="47"/>
      <c r="G122" s="47"/>
      <c r="H122" s="47"/>
      <c r="I122" s="47"/>
      <c r="J122" s="47"/>
    </row>
    <row r="123" spans="2:10" s="1" customFormat="1" ht="13.75" customHeight="1" x14ac:dyDescent="0.25">
      <c r="B123" s="47"/>
      <c r="C123" s="47"/>
      <c r="D123" s="47"/>
      <c r="E123" s="47"/>
      <c r="F123" s="47"/>
      <c r="G123" s="47"/>
      <c r="H123" s="47"/>
      <c r="I123" s="47"/>
      <c r="J123" s="47"/>
    </row>
    <row r="124" spans="2:10" s="1" customFormat="1" ht="13.75" customHeight="1" x14ac:dyDescent="0.25">
      <c r="B124" s="47"/>
      <c r="C124" s="47"/>
      <c r="D124" s="47"/>
      <c r="E124" s="47"/>
      <c r="F124" s="47"/>
      <c r="G124" s="47"/>
      <c r="H124" s="47"/>
      <c r="I124" s="47"/>
      <c r="J124" s="47"/>
    </row>
    <row r="125" spans="2:10" s="1" customFormat="1" ht="13.75" customHeight="1" x14ac:dyDescent="0.25">
      <c r="B125" s="47"/>
      <c r="C125" s="47"/>
      <c r="D125" s="47"/>
      <c r="E125" s="47"/>
      <c r="F125" s="47"/>
      <c r="G125" s="47"/>
      <c r="H125" s="47"/>
      <c r="I125" s="47"/>
      <c r="J125" s="47"/>
    </row>
    <row r="126" spans="2:10" s="1" customFormat="1" ht="13.75" customHeight="1" x14ac:dyDescent="0.25">
      <c r="B126" s="47"/>
      <c r="C126" s="47"/>
      <c r="D126" s="47"/>
      <c r="E126" s="47"/>
      <c r="F126" s="47"/>
      <c r="G126" s="47"/>
      <c r="H126" s="47"/>
      <c r="I126" s="47"/>
      <c r="J126" s="47"/>
    </row>
    <row r="127" spans="2:10" s="1" customFormat="1" ht="13.75" customHeight="1" x14ac:dyDescent="0.25">
      <c r="B127" s="47"/>
      <c r="C127" s="47"/>
      <c r="D127" s="47"/>
      <c r="E127" s="47"/>
      <c r="F127" s="47"/>
      <c r="G127" s="47"/>
      <c r="H127" s="47"/>
      <c r="I127" s="47"/>
      <c r="J127" s="47"/>
    </row>
    <row r="128" spans="2:10" s="1" customFormat="1" ht="13.75" customHeight="1" x14ac:dyDescent="0.25">
      <c r="B128" s="47"/>
      <c r="C128" s="47"/>
      <c r="D128" s="47"/>
      <c r="E128" s="47"/>
      <c r="F128" s="47"/>
      <c r="G128" s="47"/>
      <c r="H128" s="47"/>
      <c r="I128" s="47"/>
      <c r="J128" s="47"/>
    </row>
    <row r="129" spans="2:10" s="1" customFormat="1" ht="13.75" customHeight="1" x14ac:dyDescent="0.25">
      <c r="B129" s="47"/>
      <c r="C129" s="47"/>
      <c r="D129" s="47"/>
      <c r="E129" s="47"/>
      <c r="F129" s="47"/>
      <c r="G129" s="47"/>
      <c r="H129" s="47"/>
      <c r="I129" s="47"/>
      <c r="J129" s="47"/>
    </row>
    <row r="130" spans="2:10" s="1" customFormat="1" ht="13.75" customHeight="1" x14ac:dyDescent="0.25">
      <c r="B130" s="47"/>
      <c r="C130" s="47"/>
      <c r="D130" s="47"/>
      <c r="E130" s="47"/>
      <c r="F130" s="47"/>
      <c r="G130" s="47"/>
      <c r="H130" s="47"/>
      <c r="I130" s="47"/>
      <c r="J130" s="47"/>
    </row>
    <row r="131" spans="2:10" s="1" customFormat="1" ht="13.75" customHeight="1" x14ac:dyDescent="0.25">
      <c r="B131" s="47"/>
      <c r="C131" s="47"/>
      <c r="D131" s="47"/>
      <c r="E131" s="47"/>
      <c r="F131" s="47"/>
      <c r="G131" s="47"/>
      <c r="H131" s="47"/>
      <c r="I131" s="47"/>
      <c r="J131" s="47"/>
    </row>
    <row r="132" spans="2:10" s="1" customFormat="1" ht="13.75" customHeight="1" x14ac:dyDescent="0.25">
      <c r="B132" s="47"/>
      <c r="C132" s="47"/>
      <c r="D132" s="47"/>
      <c r="E132" s="47"/>
      <c r="F132" s="47"/>
      <c r="G132" s="47"/>
      <c r="H132" s="47"/>
      <c r="I132" s="47"/>
      <c r="J132" s="47"/>
    </row>
    <row r="133" spans="2:10" s="1" customFormat="1" ht="13.75" customHeight="1" x14ac:dyDescent="0.25">
      <c r="B133" s="47"/>
      <c r="C133" s="47"/>
      <c r="D133" s="47"/>
      <c r="E133" s="47"/>
      <c r="F133" s="47"/>
      <c r="G133" s="47"/>
      <c r="H133" s="47"/>
      <c r="I133" s="47"/>
      <c r="J133" s="47"/>
    </row>
    <row r="134" spans="2:10" s="1" customFormat="1" ht="13.75" customHeight="1" x14ac:dyDescent="0.25">
      <c r="B134" s="47"/>
      <c r="C134" s="47"/>
      <c r="D134" s="47"/>
      <c r="E134" s="47"/>
      <c r="F134" s="47"/>
      <c r="G134" s="47"/>
      <c r="H134" s="47"/>
      <c r="I134" s="47"/>
      <c r="J134" s="47"/>
    </row>
    <row r="135" spans="2:10" s="1" customFormat="1" ht="13.75" customHeight="1" x14ac:dyDescent="0.25">
      <c r="B135" s="47"/>
      <c r="C135" s="47"/>
      <c r="D135" s="47"/>
      <c r="E135" s="47"/>
      <c r="F135" s="47"/>
      <c r="G135" s="47"/>
      <c r="H135" s="47"/>
      <c r="I135" s="47"/>
      <c r="J135" s="47"/>
    </row>
    <row r="136" spans="2:10" s="1" customFormat="1" ht="13.75" customHeight="1" x14ac:dyDescent="0.25">
      <c r="B136" s="47"/>
      <c r="C136" s="47"/>
      <c r="D136" s="47"/>
      <c r="E136" s="47"/>
      <c r="F136" s="47"/>
      <c r="G136" s="47"/>
      <c r="H136" s="47"/>
      <c r="I136" s="47"/>
      <c r="J136" s="47"/>
    </row>
    <row r="137" spans="2:10" s="1" customFormat="1" ht="13.75" customHeight="1" x14ac:dyDescent="0.25">
      <c r="B137" s="47"/>
      <c r="C137" s="47"/>
      <c r="D137" s="47"/>
      <c r="E137" s="47"/>
      <c r="F137" s="47"/>
      <c r="G137" s="47"/>
      <c r="H137" s="47"/>
      <c r="I137" s="47"/>
      <c r="J137" s="47"/>
    </row>
    <row r="138" spans="2:10" s="1" customFormat="1" ht="13.75" customHeight="1" x14ac:dyDescent="0.25">
      <c r="B138" s="47"/>
      <c r="C138" s="47"/>
      <c r="D138" s="47"/>
      <c r="E138" s="47"/>
      <c r="F138" s="47"/>
      <c r="G138" s="47"/>
      <c r="H138" s="47"/>
      <c r="I138" s="47"/>
      <c r="J138" s="47"/>
    </row>
    <row r="139" spans="2:10" s="1" customFormat="1" ht="13.75" customHeight="1" x14ac:dyDescent="0.25">
      <c r="B139" s="47"/>
      <c r="C139" s="47"/>
      <c r="D139" s="47"/>
      <c r="E139" s="47"/>
      <c r="F139" s="47"/>
      <c r="G139" s="47"/>
      <c r="H139" s="47"/>
      <c r="I139" s="47"/>
      <c r="J139" s="47"/>
    </row>
    <row r="140" spans="2:10" s="1" customFormat="1" ht="13.75" customHeight="1" x14ac:dyDescent="0.25">
      <c r="B140" s="47"/>
      <c r="C140" s="47"/>
      <c r="D140" s="47"/>
      <c r="E140" s="47"/>
      <c r="F140" s="47"/>
      <c r="G140" s="47"/>
      <c r="H140" s="47"/>
      <c r="I140" s="47"/>
      <c r="J140" s="47"/>
    </row>
    <row r="141" spans="2:10" s="1" customFormat="1" ht="13.75" customHeight="1" x14ac:dyDescent="0.25">
      <c r="B141" s="47"/>
      <c r="C141" s="47"/>
      <c r="D141" s="47"/>
      <c r="E141" s="47"/>
      <c r="F141" s="47"/>
      <c r="G141" s="47"/>
      <c r="H141" s="47"/>
      <c r="I141" s="47"/>
      <c r="J141" s="47"/>
    </row>
    <row r="142" spans="2:10" s="1" customFormat="1" ht="13.75" customHeight="1" x14ac:dyDescent="0.25">
      <c r="B142" s="47"/>
      <c r="C142" s="47"/>
      <c r="D142" s="47"/>
      <c r="E142" s="47"/>
      <c r="F142" s="47"/>
      <c r="G142" s="47"/>
      <c r="H142" s="47"/>
      <c r="I142" s="47"/>
      <c r="J142" s="47"/>
    </row>
    <row r="143" spans="2:10" s="1" customFormat="1" ht="13.75" customHeight="1" x14ac:dyDescent="0.25">
      <c r="B143" s="47"/>
      <c r="C143" s="47"/>
      <c r="D143" s="47"/>
      <c r="E143" s="47"/>
      <c r="F143" s="47"/>
      <c r="G143" s="47"/>
      <c r="H143" s="47"/>
      <c r="I143" s="47"/>
      <c r="J143" s="47"/>
    </row>
    <row r="144" spans="2:10" s="1" customFormat="1" ht="13.75" customHeight="1" x14ac:dyDescent="0.25">
      <c r="B144" s="47"/>
      <c r="C144" s="47"/>
      <c r="D144" s="47"/>
      <c r="E144" s="47"/>
      <c r="F144" s="47"/>
      <c r="G144" s="47"/>
      <c r="H144" s="47"/>
      <c r="I144" s="47"/>
      <c r="J144" s="47"/>
    </row>
    <row r="145" spans="2:10" s="1" customFormat="1" ht="13.75" customHeight="1" x14ac:dyDescent="0.25">
      <c r="B145" s="47"/>
      <c r="C145" s="47"/>
      <c r="D145" s="47"/>
      <c r="E145" s="47"/>
      <c r="F145" s="47"/>
      <c r="G145" s="47"/>
      <c r="H145" s="47"/>
      <c r="I145" s="47"/>
      <c r="J145" s="47"/>
    </row>
    <row r="146" spans="2:10" s="1" customFormat="1" ht="13.75" customHeight="1" x14ac:dyDescent="0.25">
      <c r="B146" s="47"/>
      <c r="C146" s="47"/>
      <c r="D146" s="47"/>
      <c r="E146" s="47"/>
      <c r="F146" s="47"/>
      <c r="G146" s="47"/>
      <c r="H146" s="47"/>
      <c r="I146" s="47"/>
      <c r="J146" s="47"/>
    </row>
    <row r="147" spans="2:10" s="1" customFormat="1" ht="13.75" customHeight="1" x14ac:dyDescent="0.25">
      <c r="B147" s="47"/>
      <c r="C147" s="47"/>
      <c r="D147" s="47"/>
      <c r="E147" s="47"/>
      <c r="F147" s="47"/>
      <c r="G147" s="47"/>
      <c r="H147" s="47"/>
      <c r="I147" s="47"/>
      <c r="J147" s="47"/>
    </row>
    <row r="148" spans="2:10" s="1" customFormat="1" ht="13.75" customHeight="1" x14ac:dyDescent="0.25">
      <c r="B148" s="47"/>
      <c r="C148" s="47"/>
      <c r="D148" s="47"/>
      <c r="E148" s="47"/>
      <c r="F148" s="47"/>
      <c r="G148" s="47"/>
      <c r="H148" s="47"/>
      <c r="I148" s="47"/>
      <c r="J148" s="47"/>
    </row>
    <row r="149" spans="2:10" s="1" customFormat="1" ht="13.75" customHeight="1" x14ac:dyDescent="0.25">
      <c r="B149" s="47"/>
      <c r="C149" s="47"/>
      <c r="D149" s="47"/>
      <c r="E149" s="47"/>
      <c r="F149" s="47"/>
      <c r="G149" s="47"/>
      <c r="H149" s="47"/>
      <c r="I149" s="47"/>
      <c r="J149" s="47"/>
    </row>
    <row r="150" spans="2:10" s="1" customFormat="1" ht="13.75" customHeight="1" x14ac:dyDescent="0.25">
      <c r="B150" s="47"/>
      <c r="C150" s="47"/>
      <c r="D150" s="47"/>
      <c r="E150" s="47"/>
      <c r="F150" s="47"/>
      <c r="G150" s="47"/>
      <c r="H150" s="47"/>
      <c r="I150" s="47"/>
      <c r="J150" s="47"/>
    </row>
    <row r="151" spans="2:10" s="1" customFormat="1" ht="13.75" customHeight="1" x14ac:dyDescent="0.25">
      <c r="B151" s="47"/>
      <c r="C151" s="47"/>
      <c r="D151" s="47"/>
      <c r="E151" s="47"/>
      <c r="F151" s="47"/>
      <c r="G151" s="47"/>
      <c r="H151" s="47"/>
      <c r="I151" s="47"/>
      <c r="J151" s="47"/>
    </row>
    <row r="152" spans="2:10" s="1" customFormat="1" ht="13.75" customHeight="1" x14ac:dyDescent="0.25">
      <c r="B152" s="47"/>
      <c r="C152" s="47"/>
      <c r="D152" s="47"/>
      <c r="E152" s="47"/>
      <c r="F152" s="47"/>
      <c r="G152" s="47"/>
      <c r="H152" s="47"/>
      <c r="I152" s="47"/>
      <c r="J152" s="47"/>
    </row>
    <row r="153" spans="2:10" s="1" customFormat="1" ht="13.75" customHeight="1" x14ac:dyDescent="0.25">
      <c r="B153" s="47"/>
      <c r="C153" s="47"/>
      <c r="D153" s="47"/>
      <c r="E153" s="47"/>
      <c r="F153" s="47"/>
      <c r="G153" s="47"/>
      <c r="H153" s="47"/>
      <c r="I153" s="47"/>
      <c r="J153" s="47"/>
    </row>
    <row r="154" spans="2:10" s="1" customFormat="1" ht="13.75" customHeight="1" x14ac:dyDescent="0.25">
      <c r="B154" s="47"/>
      <c r="C154" s="47"/>
      <c r="D154" s="47"/>
      <c r="E154" s="47"/>
      <c r="F154" s="47"/>
      <c r="G154" s="47"/>
      <c r="H154" s="47"/>
      <c r="I154" s="47"/>
      <c r="J154" s="47"/>
    </row>
    <row r="155" spans="2:10" s="1" customFormat="1" ht="13.75" customHeight="1" x14ac:dyDescent="0.25">
      <c r="B155" s="47"/>
      <c r="C155" s="47"/>
      <c r="D155" s="47"/>
      <c r="E155" s="47"/>
      <c r="F155" s="47"/>
      <c r="G155" s="47"/>
      <c r="H155" s="47"/>
      <c r="I155" s="47"/>
      <c r="J155" s="47"/>
    </row>
    <row r="156" spans="2:10" s="1" customFormat="1" ht="13.75" customHeight="1" x14ac:dyDescent="0.25">
      <c r="B156" s="47"/>
      <c r="C156" s="47"/>
      <c r="D156" s="47"/>
      <c r="E156" s="47"/>
      <c r="F156" s="47"/>
      <c r="G156" s="47"/>
      <c r="H156" s="47"/>
      <c r="I156" s="47"/>
      <c r="J156" s="47"/>
    </row>
    <row r="157" spans="2:10" s="1" customFormat="1" ht="13.75" customHeight="1" x14ac:dyDescent="0.25">
      <c r="B157" s="47"/>
      <c r="C157" s="47"/>
      <c r="D157" s="47"/>
      <c r="E157" s="47"/>
      <c r="F157" s="47"/>
      <c r="G157" s="47"/>
      <c r="H157" s="47"/>
      <c r="I157" s="47"/>
      <c r="J157" s="47"/>
    </row>
    <row r="158" spans="2:10" s="1" customFormat="1" ht="13.75" customHeight="1" x14ac:dyDescent="0.25">
      <c r="B158" s="47"/>
      <c r="C158" s="47"/>
      <c r="D158" s="47"/>
      <c r="E158" s="47"/>
      <c r="F158" s="47"/>
      <c r="G158" s="47"/>
      <c r="H158" s="47"/>
      <c r="I158" s="47"/>
      <c r="J158" s="47"/>
    </row>
    <row r="159" spans="2:10" s="1" customFormat="1" ht="13.75" customHeight="1" x14ac:dyDescent="0.25">
      <c r="B159" s="47"/>
      <c r="C159" s="47"/>
      <c r="D159" s="47"/>
      <c r="E159" s="47"/>
      <c r="F159" s="47"/>
      <c r="G159" s="47"/>
      <c r="H159" s="47"/>
      <c r="I159" s="47"/>
      <c r="J159" s="47"/>
    </row>
    <row r="160" spans="2:10" s="1" customFormat="1" ht="13.75" customHeight="1" x14ac:dyDescent="0.25">
      <c r="B160" s="47"/>
      <c r="C160" s="47"/>
      <c r="D160" s="47"/>
      <c r="E160" s="47"/>
      <c r="F160" s="47"/>
      <c r="G160" s="47"/>
      <c r="H160" s="47"/>
      <c r="I160" s="47"/>
      <c r="J160" s="47"/>
    </row>
    <row r="161" spans="2:10" s="1" customFormat="1" ht="13.75" customHeight="1" x14ac:dyDescent="0.25">
      <c r="B161" s="47"/>
      <c r="C161" s="47"/>
      <c r="D161" s="47"/>
      <c r="E161" s="47"/>
      <c r="F161" s="47"/>
      <c r="G161" s="47"/>
      <c r="H161" s="47"/>
      <c r="I161" s="47"/>
      <c r="J161" s="47"/>
    </row>
    <row r="162" spans="2:10" s="1" customFormat="1" ht="13.75" customHeight="1" x14ac:dyDescent="0.25">
      <c r="B162" s="47"/>
      <c r="C162" s="47"/>
      <c r="D162" s="47"/>
      <c r="E162" s="47"/>
      <c r="F162" s="47"/>
      <c r="G162" s="47"/>
      <c r="H162" s="47"/>
      <c r="I162" s="47"/>
      <c r="J162" s="47"/>
    </row>
    <row r="163" spans="2:10" s="1" customFormat="1" ht="13.75" customHeight="1" x14ac:dyDescent="0.25">
      <c r="B163" s="47"/>
      <c r="C163" s="47"/>
      <c r="D163" s="47"/>
      <c r="E163" s="47"/>
      <c r="F163" s="47"/>
      <c r="G163" s="47"/>
      <c r="H163" s="47"/>
      <c r="I163" s="47"/>
      <c r="J163" s="47"/>
    </row>
    <row r="164" spans="2:10" s="1" customFormat="1" ht="13.75" customHeight="1" x14ac:dyDescent="0.25">
      <c r="B164" s="47"/>
      <c r="C164" s="47"/>
      <c r="D164" s="47"/>
      <c r="E164" s="47"/>
      <c r="F164" s="47"/>
      <c r="G164" s="47"/>
      <c r="H164" s="47"/>
      <c r="I164" s="47"/>
      <c r="J164" s="47"/>
    </row>
    <row r="165" spans="2:10" s="1" customFormat="1" ht="13.75" customHeight="1" x14ac:dyDescent="0.25">
      <c r="B165" s="47"/>
      <c r="C165" s="47"/>
      <c r="D165" s="47"/>
      <c r="E165" s="47"/>
      <c r="F165" s="47"/>
      <c r="G165" s="47"/>
      <c r="H165" s="47"/>
      <c r="I165" s="47"/>
      <c r="J165" s="47"/>
    </row>
    <row r="166" spans="2:10" s="1" customFormat="1" ht="13.75" customHeight="1" x14ac:dyDescent="0.25">
      <c r="B166" s="47"/>
      <c r="C166" s="47"/>
      <c r="D166" s="47"/>
      <c r="E166" s="47"/>
      <c r="F166" s="47"/>
      <c r="G166" s="47"/>
      <c r="H166" s="47"/>
      <c r="I166" s="47"/>
      <c r="J166" s="47"/>
    </row>
    <row r="167" spans="2:10" s="1" customFormat="1" ht="13.75" customHeight="1" x14ac:dyDescent="0.25">
      <c r="B167" s="47"/>
      <c r="C167" s="47"/>
      <c r="D167" s="47"/>
      <c r="E167" s="47"/>
      <c r="F167" s="47"/>
      <c r="G167" s="47"/>
      <c r="H167" s="47"/>
      <c r="I167" s="47"/>
      <c r="J167" s="47"/>
    </row>
    <row r="168" spans="2:10" s="1" customFormat="1" ht="13.75" customHeight="1" x14ac:dyDescent="0.25">
      <c r="B168" s="47"/>
      <c r="C168" s="47"/>
      <c r="D168" s="47"/>
      <c r="E168" s="47"/>
      <c r="F168" s="47"/>
      <c r="G168" s="47"/>
      <c r="H168" s="47"/>
      <c r="I168" s="47"/>
      <c r="J168" s="47"/>
    </row>
    <row r="169" spans="2:10" s="1" customFormat="1" ht="13.75" customHeight="1" x14ac:dyDescent="0.25">
      <c r="B169" s="47"/>
      <c r="C169" s="47"/>
      <c r="D169" s="47"/>
      <c r="E169" s="47"/>
      <c r="F169" s="47"/>
      <c r="G169" s="47"/>
      <c r="H169" s="47"/>
      <c r="I169" s="47"/>
      <c r="J169" s="47"/>
    </row>
    <row r="170" spans="2:10" s="1" customFormat="1" ht="13.75" customHeight="1" x14ac:dyDescent="0.25">
      <c r="B170" s="47"/>
      <c r="C170" s="47"/>
      <c r="D170" s="47"/>
      <c r="E170" s="47"/>
      <c r="F170" s="47"/>
      <c r="G170" s="47"/>
      <c r="H170" s="47"/>
      <c r="I170" s="47"/>
      <c r="J170" s="47"/>
    </row>
    <row r="171" spans="2:10" s="1" customFormat="1" ht="13.75" customHeight="1" x14ac:dyDescent="0.25">
      <c r="B171" s="47"/>
      <c r="C171" s="47"/>
      <c r="D171" s="47"/>
      <c r="E171" s="47"/>
      <c r="F171" s="47"/>
      <c r="G171" s="47"/>
      <c r="H171" s="47"/>
      <c r="I171" s="47"/>
      <c r="J171" s="47"/>
    </row>
    <row r="172" spans="2:10" s="1" customFormat="1" ht="13.75" customHeight="1" x14ac:dyDescent="0.25">
      <c r="B172" s="47"/>
      <c r="C172" s="47"/>
      <c r="D172" s="47"/>
      <c r="E172" s="47"/>
      <c r="F172" s="47"/>
      <c r="G172" s="47"/>
      <c r="H172" s="47"/>
      <c r="I172" s="47"/>
      <c r="J172" s="47"/>
    </row>
    <row r="173" spans="2:10" s="1" customFormat="1" ht="13.75" customHeight="1" x14ac:dyDescent="0.25">
      <c r="B173" s="47"/>
      <c r="C173" s="47"/>
      <c r="D173" s="47"/>
      <c r="E173" s="47"/>
      <c r="F173" s="47"/>
      <c r="G173" s="47"/>
      <c r="H173" s="47"/>
      <c r="I173" s="47"/>
      <c r="J173" s="47"/>
    </row>
    <row r="174" spans="2:10" s="1" customFormat="1" ht="13.75" customHeight="1" x14ac:dyDescent="0.25">
      <c r="B174" s="47"/>
      <c r="C174" s="47"/>
      <c r="D174" s="47"/>
      <c r="E174" s="47"/>
      <c r="F174" s="47"/>
      <c r="G174" s="47"/>
      <c r="H174" s="47"/>
      <c r="I174" s="47"/>
      <c r="J174" s="47"/>
    </row>
    <row r="175" spans="2:10" s="1" customFormat="1" ht="13.75" customHeight="1" x14ac:dyDescent="0.25">
      <c r="B175" s="47"/>
      <c r="C175" s="47"/>
      <c r="D175" s="47"/>
      <c r="E175" s="47"/>
      <c r="F175" s="47"/>
      <c r="G175" s="47"/>
      <c r="H175" s="47"/>
      <c r="I175" s="47"/>
      <c r="J175" s="47"/>
    </row>
    <row r="176" spans="2:10" s="1" customFormat="1" ht="13.75" customHeight="1" x14ac:dyDescent="0.25">
      <c r="B176" s="47"/>
      <c r="C176" s="47"/>
      <c r="D176" s="47"/>
      <c r="E176" s="47"/>
      <c r="F176" s="47"/>
      <c r="G176" s="47"/>
      <c r="H176" s="47"/>
      <c r="I176" s="47"/>
      <c r="J176" s="47"/>
    </row>
    <row r="177" spans="2:10" s="1" customFormat="1" ht="13.75" customHeight="1" x14ac:dyDescent="0.25">
      <c r="B177" s="47"/>
      <c r="C177" s="47"/>
      <c r="D177" s="47"/>
      <c r="E177" s="47"/>
      <c r="F177" s="47"/>
      <c r="G177" s="47"/>
      <c r="H177" s="47"/>
      <c r="I177" s="47"/>
      <c r="J177" s="47"/>
    </row>
    <row r="178" spans="2:10" s="1" customFormat="1" ht="13.75" customHeight="1" x14ac:dyDescent="0.25">
      <c r="B178" s="47"/>
      <c r="C178" s="47"/>
      <c r="D178" s="47"/>
      <c r="E178" s="47"/>
      <c r="F178" s="47"/>
      <c r="G178" s="47"/>
      <c r="H178" s="47"/>
      <c r="I178" s="47"/>
      <c r="J178" s="47"/>
    </row>
    <row r="179" spans="2:10" s="1" customFormat="1" ht="13.75" customHeight="1" x14ac:dyDescent="0.25">
      <c r="B179" s="47"/>
      <c r="C179" s="47"/>
      <c r="D179" s="47"/>
      <c r="E179" s="47"/>
      <c r="F179" s="47"/>
      <c r="G179" s="47"/>
      <c r="H179" s="47"/>
      <c r="I179" s="47"/>
      <c r="J179" s="47"/>
    </row>
    <row r="180" spans="2:10" s="1" customFormat="1" ht="13.75" customHeight="1" x14ac:dyDescent="0.25">
      <c r="B180" s="47"/>
      <c r="C180" s="47"/>
      <c r="D180" s="47"/>
      <c r="E180" s="47"/>
      <c r="F180" s="47"/>
      <c r="G180" s="47"/>
      <c r="H180" s="47"/>
      <c r="I180" s="47"/>
      <c r="J180" s="47"/>
    </row>
    <row r="181" spans="2:10" s="1" customFormat="1" ht="13.75" customHeight="1" x14ac:dyDescent="0.25">
      <c r="B181" s="47"/>
      <c r="C181" s="47"/>
      <c r="D181" s="47"/>
      <c r="E181" s="47"/>
      <c r="F181" s="47"/>
      <c r="G181" s="47"/>
      <c r="H181" s="47"/>
      <c r="I181" s="47"/>
      <c r="J181" s="47"/>
    </row>
    <row r="182" spans="2:10" s="1" customFormat="1" ht="13.75" customHeight="1" x14ac:dyDescent="0.25">
      <c r="B182" s="47"/>
      <c r="C182" s="47"/>
      <c r="D182" s="47"/>
      <c r="E182" s="47"/>
      <c r="F182" s="47"/>
      <c r="G182" s="47"/>
      <c r="H182" s="47"/>
      <c r="I182" s="47"/>
      <c r="J182" s="47"/>
    </row>
    <row r="183" spans="2:10" s="1" customFormat="1" ht="13.75" customHeight="1" x14ac:dyDescent="0.25">
      <c r="B183" s="47"/>
      <c r="C183" s="47"/>
      <c r="D183" s="47"/>
      <c r="E183" s="47"/>
      <c r="F183" s="47"/>
      <c r="G183" s="47"/>
      <c r="H183" s="47"/>
      <c r="I183" s="47"/>
      <c r="J183" s="47"/>
    </row>
    <row r="184" spans="2:10" s="1" customFormat="1" ht="13.75" customHeight="1" x14ac:dyDescent="0.25">
      <c r="B184" s="47"/>
      <c r="C184" s="47"/>
      <c r="D184" s="47"/>
      <c r="E184" s="47"/>
      <c r="F184" s="47"/>
      <c r="G184" s="47"/>
      <c r="H184" s="47"/>
      <c r="I184" s="47"/>
      <c r="J184" s="47"/>
    </row>
    <row r="185" spans="2:10" s="1" customFormat="1" ht="13.75" customHeight="1" x14ac:dyDescent="0.25">
      <c r="B185" s="47"/>
      <c r="C185" s="47"/>
      <c r="D185" s="47"/>
      <c r="E185" s="47"/>
      <c r="F185" s="47"/>
      <c r="G185" s="47"/>
      <c r="H185" s="47"/>
      <c r="I185" s="47"/>
      <c r="J185" s="47"/>
    </row>
    <row r="186" spans="2:10" s="1" customFormat="1" ht="13.75" customHeight="1" x14ac:dyDescent="0.25">
      <c r="B186" s="47"/>
      <c r="C186" s="47"/>
      <c r="D186" s="47"/>
      <c r="E186" s="47"/>
      <c r="F186" s="47"/>
      <c r="G186" s="47"/>
      <c r="H186" s="47"/>
      <c r="I186" s="47"/>
      <c r="J186" s="47"/>
    </row>
    <row r="187" spans="2:10" s="1" customFormat="1" ht="13.75" customHeight="1" x14ac:dyDescent="0.25">
      <c r="B187" s="47"/>
      <c r="C187" s="47"/>
      <c r="D187" s="47"/>
      <c r="E187" s="47"/>
      <c r="F187" s="47"/>
      <c r="G187" s="47"/>
      <c r="H187" s="47"/>
      <c r="I187" s="47"/>
      <c r="J187" s="47"/>
    </row>
    <row r="188" spans="2:10" s="1" customFormat="1" ht="13.75" customHeight="1" x14ac:dyDescent="0.25">
      <c r="B188" s="47"/>
      <c r="C188" s="47"/>
      <c r="D188" s="47"/>
      <c r="E188" s="47"/>
      <c r="F188" s="47"/>
      <c r="G188" s="47"/>
      <c r="H188" s="47"/>
      <c r="I188" s="47"/>
      <c r="J188" s="47"/>
    </row>
    <row r="189" spans="2:10" s="1" customFormat="1" ht="13.75" customHeight="1" x14ac:dyDescent="0.25">
      <c r="B189" s="47"/>
      <c r="C189" s="47"/>
      <c r="D189" s="47"/>
      <c r="E189" s="47"/>
      <c r="F189" s="47"/>
      <c r="G189" s="47"/>
      <c r="H189" s="47"/>
      <c r="I189" s="47"/>
      <c r="J189" s="47"/>
    </row>
    <row r="190" spans="2:10" s="1" customFormat="1" ht="13.75" customHeight="1" x14ac:dyDescent="0.25">
      <c r="B190" s="47"/>
      <c r="C190" s="47"/>
      <c r="D190" s="47"/>
      <c r="E190" s="47"/>
      <c r="F190" s="47"/>
      <c r="G190" s="47"/>
      <c r="H190" s="47"/>
      <c r="I190" s="47"/>
      <c r="J190" s="47"/>
    </row>
    <row r="191" spans="2:10" s="1" customFormat="1" ht="13.75" customHeight="1" x14ac:dyDescent="0.25">
      <c r="B191" s="47"/>
      <c r="C191" s="47"/>
      <c r="D191" s="47"/>
      <c r="E191" s="47"/>
      <c r="F191" s="47"/>
      <c r="G191" s="47"/>
      <c r="H191" s="47"/>
      <c r="I191" s="47"/>
      <c r="J191" s="47"/>
    </row>
    <row r="192" spans="2:10" s="1" customFormat="1" ht="13.75" customHeight="1" x14ac:dyDescent="0.25">
      <c r="B192" s="47"/>
      <c r="C192" s="47"/>
      <c r="D192" s="47"/>
      <c r="E192" s="47"/>
      <c r="F192" s="47"/>
      <c r="G192" s="47"/>
      <c r="H192" s="47"/>
      <c r="I192" s="47"/>
      <c r="J192" s="47"/>
    </row>
    <row r="193" spans="2:10" s="1" customFormat="1" ht="13.75" customHeight="1" x14ac:dyDescent="0.25">
      <c r="B193" s="47"/>
      <c r="C193" s="47"/>
      <c r="D193" s="47"/>
      <c r="E193" s="47"/>
      <c r="F193" s="47"/>
      <c r="G193" s="47"/>
      <c r="H193" s="47"/>
      <c r="I193" s="47"/>
      <c r="J193" s="47"/>
    </row>
    <row r="194" spans="2:10" s="1" customFormat="1" ht="13.75" customHeight="1" x14ac:dyDescent="0.25">
      <c r="B194" s="47"/>
      <c r="C194" s="47"/>
      <c r="D194" s="47"/>
      <c r="E194" s="47"/>
      <c r="F194" s="47"/>
      <c r="G194" s="47"/>
      <c r="H194" s="47"/>
      <c r="I194" s="47"/>
      <c r="J194" s="47"/>
    </row>
    <row r="195" spans="2:10" s="1" customFormat="1" ht="13.75" customHeight="1" x14ac:dyDescent="0.25">
      <c r="B195" s="47"/>
      <c r="C195" s="47"/>
      <c r="D195" s="47"/>
      <c r="E195" s="47"/>
      <c r="F195" s="47"/>
      <c r="G195" s="47"/>
      <c r="H195" s="47"/>
      <c r="I195" s="47"/>
      <c r="J195" s="47"/>
    </row>
    <row r="196" spans="2:10" s="1" customFormat="1" ht="13.75" customHeight="1" x14ac:dyDescent="0.25">
      <c r="B196" s="47"/>
      <c r="C196" s="47"/>
      <c r="D196" s="47"/>
      <c r="E196" s="47"/>
      <c r="F196" s="47"/>
      <c r="G196" s="47"/>
      <c r="H196" s="47"/>
      <c r="I196" s="47"/>
      <c r="J196" s="47"/>
    </row>
    <row r="197" spans="2:10" s="1" customFormat="1" ht="13.75" customHeight="1" x14ac:dyDescent="0.25">
      <c r="B197" s="47"/>
      <c r="C197" s="47"/>
      <c r="D197" s="47"/>
      <c r="E197" s="47"/>
      <c r="F197" s="47"/>
      <c r="G197" s="47"/>
      <c r="H197" s="47"/>
      <c r="I197" s="47"/>
      <c r="J197" s="47"/>
    </row>
    <row r="198" spans="2:10" s="1" customFormat="1" ht="13.75" customHeight="1" x14ac:dyDescent="0.25">
      <c r="B198" s="47"/>
      <c r="C198" s="47"/>
      <c r="D198" s="47"/>
      <c r="E198" s="47"/>
      <c r="F198" s="47"/>
      <c r="G198" s="47"/>
      <c r="H198" s="47"/>
      <c r="I198" s="47"/>
      <c r="J198" s="47"/>
    </row>
    <row r="199" spans="2:10" s="1" customFormat="1" ht="13.75" customHeight="1" x14ac:dyDescent="0.25">
      <c r="B199" s="47"/>
      <c r="C199" s="47"/>
      <c r="D199" s="47"/>
      <c r="E199" s="47"/>
      <c r="F199" s="47"/>
      <c r="G199" s="47"/>
      <c r="H199" s="47"/>
      <c r="I199" s="47"/>
      <c r="J199" s="47"/>
    </row>
    <row r="200" spans="2:10" s="1" customFormat="1" ht="13.75" customHeight="1" x14ac:dyDescent="0.25">
      <c r="B200" s="47"/>
      <c r="C200" s="47"/>
      <c r="D200" s="47"/>
      <c r="E200" s="47"/>
      <c r="F200" s="47"/>
      <c r="G200" s="47"/>
      <c r="H200" s="47"/>
      <c r="I200" s="47"/>
      <c r="J200" s="47"/>
    </row>
    <row r="201" spans="2:10" s="1" customFormat="1" ht="13.75" customHeight="1" x14ac:dyDescent="0.25">
      <c r="B201" s="47"/>
      <c r="C201" s="47"/>
      <c r="D201" s="47"/>
      <c r="E201" s="47"/>
      <c r="F201" s="47"/>
      <c r="G201" s="47"/>
      <c r="H201" s="47"/>
      <c r="I201" s="47"/>
      <c r="J201" s="47"/>
    </row>
    <row r="202" spans="2:10" s="1" customFormat="1" ht="13.75" customHeight="1" x14ac:dyDescent="0.25">
      <c r="B202" s="47"/>
      <c r="C202" s="47"/>
      <c r="D202" s="47"/>
      <c r="E202" s="47"/>
      <c r="F202" s="47"/>
      <c r="G202" s="47"/>
      <c r="H202" s="47"/>
      <c r="I202" s="47"/>
      <c r="J202" s="47"/>
    </row>
    <row r="203" spans="2:10" s="1" customFormat="1" ht="13.75" customHeight="1" x14ac:dyDescent="0.25">
      <c r="B203" s="47"/>
      <c r="C203" s="47"/>
      <c r="D203" s="47"/>
      <c r="E203" s="47"/>
      <c r="F203" s="47"/>
      <c r="G203" s="47"/>
      <c r="H203" s="47"/>
      <c r="I203" s="47"/>
      <c r="J203" s="47"/>
    </row>
    <row r="204" spans="2:10" s="1" customFormat="1" ht="13.75" customHeight="1" x14ac:dyDescent="0.25">
      <c r="B204" s="47"/>
      <c r="C204" s="47"/>
      <c r="D204" s="47"/>
      <c r="E204" s="47"/>
      <c r="F204" s="47"/>
      <c r="G204" s="47"/>
      <c r="H204" s="47"/>
      <c r="I204" s="47"/>
      <c r="J204" s="47"/>
    </row>
    <row r="205" spans="2:10" s="1" customFormat="1" ht="13.75" customHeight="1" x14ac:dyDescent="0.25">
      <c r="B205" s="47"/>
      <c r="C205" s="47"/>
      <c r="D205" s="47"/>
      <c r="E205" s="47"/>
      <c r="F205" s="47"/>
      <c r="G205" s="47"/>
      <c r="H205" s="47"/>
      <c r="I205" s="47"/>
      <c r="J205" s="47"/>
    </row>
    <row r="206" spans="2:10" s="1" customFormat="1" ht="13.75" customHeight="1" x14ac:dyDescent="0.25">
      <c r="B206" s="47"/>
      <c r="C206" s="47"/>
      <c r="D206" s="47"/>
      <c r="E206" s="47"/>
      <c r="F206" s="47"/>
      <c r="G206" s="47"/>
      <c r="H206" s="47"/>
      <c r="I206" s="47"/>
      <c r="J206" s="47"/>
    </row>
    <row r="207" spans="2:10" s="1" customFormat="1" ht="13.75" customHeight="1" x14ac:dyDescent="0.25">
      <c r="B207" s="47"/>
      <c r="C207" s="47"/>
      <c r="D207" s="47"/>
      <c r="E207" s="47"/>
      <c r="F207" s="47"/>
      <c r="G207" s="47"/>
      <c r="H207" s="47"/>
      <c r="I207" s="47"/>
      <c r="J207" s="47"/>
    </row>
    <row r="208" spans="2:10" s="1" customFormat="1" ht="13.75" customHeight="1" x14ac:dyDescent="0.25">
      <c r="B208" s="47"/>
      <c r="C208" s="47"/>
      <c r="D208" s="47"/>
      <c r="E208" s="47"/>
      <c r="F208" s="47"/>
      <c r="G208" s="47"/>
      <c r="H208" s="47"/>
      <c r="I208" s="47"/>
      <c r="J208" s="47"/>
    </row>
    <row r="209" spans="2:10" s="1" customFormat="1" ht="13.75" customHeight="1" x14ac:dyDescent="0.25">
      <c r="B209" s="47"/>
      <c r="C209" s="47"/>
      <c r="D209" s="47"/>
      <c r="E209" s="47"/>
      <c r="F209" s="47"/>
      <c r="G209" s="47"/>
      <c r="H209" s="47"/>
      <c r="I209" s="47"/>
      <c r="J209" s="47"/>
    </row>
    <row r="210" spans="2:10" s="1" customFormat="1" ht="13.75" customHeight="1" x14ac:dyDescent="0.25">
      <c r="B210" s="47"/>
      <c r="C210" s="47"/>
      <c r="D210" s="47"/>
      <c r="E210" s="47"/>
      <c r="F210" s="47"/>
      <c r="G210" s="47"/>
      <c r="H210" s="47"/>
      <c r="I210" s="47"/>
      <c r="J210" s="47"/>
    </row>
    <row r="211" spans="2:10" s="1" customFormat="1" ht="13.75" customHeight="1" x14ac:dyDescent="0.25">
      <c r="B211" s="47"/>
      <c r="C211" s="47"/>
      <c r="D211" s="47"/>
      <c r="E211" s="47"/>
      <c r="F211" s="47"/>
      <c r="G211" s="47"/>
      <c r="H211" s="47"/>
      <c r="I211" s="47"/>
      <c r="J211" s="47"/>
    </row>
    <row r="212" spans="2:10" s="1" customFormat="1" ht="13.75" customHeight="1" x14ac:dyDescent="0.25">
      <c r="B212" s="47"/>
      <c r="C212" s="47"/>
      <c r="D212" s="47"/>
      <c r="E212" s="47"/>
      <c r="F212" s="47"/>
      <c r="G212" s="47"/>
      <c r="H212" s="47"/>
      <c r="I212" s="47"/>
      <c r="J212" s="47"/>
    </row>
    <row r="213" spans="2:10" s="1" customFormat="1" ht="13.75" customHeight="1" x14ac:dyDescent="0.25">
      <c r="B213" s="47"/>
      <c r="C213" s="47"/>
      <c r="D213" s="47"/>
      <c r="E213" s="47"/>
      <c r="F213" s="47"/>
      <c r="G213" s="47"/>
      <c r="H213" s="47"/>
      <c r="I213" s="47"/>
      <c r="J213" s="47"/>
    </row>
    <row r="214" spans="2:10" s="1" customFormat="1" ht="13.75" customHeight="1" x14ac:dyDescent="0.25">
      <c r="B214" s="47"/>
      <c r="C214" s="47"/>
      <c r="D214" s="47"/>
      <c r="E214" s="47"/>
      <c r="F214" s="47"/>
      <c r="G214" s="47"/>
      <c r="H214" s="47"/>
      <c r="I214" s="47"/>
      <c r="J214" s="47"/>
    </row>
    <row r="215" spans="2:10" s="1" customFormat="1" ht="13.75" customHeight="1" x14ac:dyDescent="0.25">
      <c r="B215" s="47"/>
      <c r="C215" s="47"/>
      <c r="D215" s="47"/>
      <c r="E215" s="47"/>
      <c r="F215" s="47"/>
      <c r="G215" s="47"/>
      <c r="H215" s="47"/>
      <c r="I215" s="47"/>
      <c r="J215" s="47"/>
    </row>
    <row r="216" spans="2:10" s="1" customFormat="1" ht="13.75" customHeight="1" x14ac:dyDescent="0.25">
      <c r="B216" s="47"/>
      <c r="C216" s="47"/>
      <c r="D216" s="47"/>
      <c r="E216" s="47"/>
      <c r="F216" s="47"/>
      <c r="G216" s="47"/>
      <c r="H216" s="47"/>
      <c r="I216" s="47"/>
      <c r="J216" s="47"/>
    </row>
    <row r="217" spans="2:10" s="1" customFormat="1" ht="13.75" customHeight="1" x14ac:dyDescent="0.25">
      <c r="B217" s="47"/>
      <c r="C217" s="47"/>
      <c r="D217" s="47"/>
      <c r="E217" s="47"/>
      <c r="F217" s="47"/>
      <c r="G217" s="47"/>
      <c r="H217" s="47"/>
      <c r="I217" s="47"/>
      <c r="J217" s="47"/>
    </row>
    <row r="218" spans="2:10" s="1" customFormat="1" ht="13.75" customHeight="1" x14ac:dyDescent="0.25">
      <c r="B218" s="47"/>
      <c r="C218" s="47"/>
      <c r="D218" s="47"/>
      <c r="E218" s="47"/>
      <c r="F218" s="47"/>
      <c r="G218" s="47"/>
      <c r="H218" s="47"/>
      <c r="I218" s="47"/>
      <c r="J218" s="47"/>
    </row>
    <row r="219" spans="2:10" s="1" customFormat="1" ht="13.75" customHeight="1" x14ac:dyDescent="0.25">
      <c r="B219" s="47"/>
      <c r="C219" s="47"/>
      <c r="D219" s="47"/>
      <c r="E219" s="47"/>
      <c r="F219" s="47"/>
      <c r="G219" s="47"/>
      <c r="H219" s="47"/>
      <c r="I219" s="47"/>
      <c r="J219" s="47"/>
    </row>
    <row r="220" spans="2:10" s="1" customFormat="1" ht="13.75" customHeight="1" x14ac:dyDescent="0.25">
      <c r="B220" s="47"/>
      <c r="C220" s="47"/>
      <c r="D220" s="47"/>
      <c r="E220" s="47"/>
      <c r="F220" s="47"/>
      <c r="G220" s="47"/>
      <c r="H220" s="47"/>
      <c r="I220" s="47"/>
      <c r="J220" s="47"/>
    </row>
    <row r="221" spans="2:10" s="1" customFormat="1" ht="13.75" customHeight="1" x14ac:dyDescent="0.25">
      <c r="B221" s="47"/>
      <c r="C221" s="47"/>
      <c r="D221" s="47"/>
      <c r="E221" s="47"/>
      <c r="F221" s="47"/>
      <c r="G221" s="47"/>
      <c r="H221" s="47"/>
      <c r="I221" s="47"/>
      <c r="J221" s="47"/>
    </row>
    <row r="222" spans="2:10" s="1" customFormat="1" ht="13.75" customHeight="1" x14ac:dyDescent="0.25">
      <c r="B222" s="47"/>
      <c r="C222" s="47"/>
      <c r="D222" s="47"/>
      <c r="E222" s="47"/>
      <c r="F222" s="47"/>
      <c r="G222" s="47"/>
      <c r="H222" s="47"/>
      <c r="I222" s="47"/>
      <c r="J222" s="47"/>
    </row>
    <row r="223" spans="2:10" s="1" customFormat="1" ht="13.75" customHeight="1" x14ac:dyDescent="0.25">
      <c r="B223" s="47"/>
      <c r="C223" s="47"/>
      <c r="D223" s="47"/>
      <c r="E223" s="47"/>
      <c r="F223" s="47"/>
      <c r="G223" s="47"/>
      <c r="H223" s="47"/>
      <c r="I223" s="47"/>
      <c r="J223" s="47"/>
    </row>
    <row r="224" spans="2:10" s="1" customFormat="1" ht="13.75" customHeight="1" x14ac:dyDescent="0.25">
      <c r="B224" s="47"/>
      <c r="C224" s="47"/>
      <c r="D224" s="47"/>
      <c r="E224" s="47"/>
      <c r="F224" s="47"/>
      <c r="G224" s="47"/>
      <c r="H224" s="47"/>
      <c r="I224" s="47"/>
      <c r="J224" s="47"/>
    </row>
    <row r="225" spans="2:10" s="1" customFormat="1" ht="13.75" customHeight="1" x14ac:dyDescent="0.25">
      <c r="B225" s="47"/>
      <c r="C225" s="47"/>
      <c r="D225" s="47"/>
      <c r="E225" s="47"/>
      <c r="F225" s="47"/>
      <c r="G225" s="47"/>
      <c r="H225" s="47"/>
      <c r="I225" s="47"/>
      <c r="J225" s="47"/>
    </row>
    <row r="226" spans="2:10" s="1" customFormat="1" ht="13.75" customHeight="1" x14ac:dyDescent="0.25">
      <c r="B226" s="47"/>
      <c r="C226" s="47"/>
      <c r="D226" s="47"/>
      <c r="E226" s="47"/>
      <c r="F226" s="47"/>
      <c r="G226" s="47"/>
      <c r="H226" s="47"/>
      <c r="I226" s="47"/>
      <c r="J226" s="47"/>
    </row>
    <row r="227" spans="2:10" s="1" customFormat="1" ht="13.75" customHeight="1" x14ac:dyDescent="0.25">
      <c r="B227" s="47"/>
      <c r="C227" s="47"/>
      <c r="D227" s="47"/>
      <c r="E227" s="47"/>
      <c r="F227" s="47"/>
      <c r="G227" s="47"/>
      <c r="H227" s="47"/>
      <c r="I227" s="47"/>
      <c r="J227" s="47"/>
    </row>
    <row r="228" spans="2:10" s="1" customFormat="1" ht="13.75" customHeight="1" x14ac:dyDescent="0.25">
      <c r="B228" s="47"/>
      <c r="C228" s="47"/>
      <c r="D228" s="47"/>
      <c r="E228" s="47"/>
      <c r="F228" s="47"/>
      <c r="G228" s="47"/>
      <c r="H228" s="47"/>
      <c r="I228" s="47"/>
      <c r="J228" s="47"/>
    </row>
    <row r="229" spans="2:10" s="1" customFormat="1" ht="13.75" customHeight="1" x14ac:dyDescent="0.25">
      <c r="B229" s="47"/>
      <c r="C229" s="47"/>
      <c r="D229" s="47"/>
      <c r="E229" s="47"/>
      <c r="F229" s="47"/>
      <c r="G229" s="47"/>
      <c r="H229" s="47"/>
      <c r="I229" s="47"/>
      <c r="J229" s="47"/>
    </row>
    <row r="230" spans="2:10" s="1" customFormat="1" ht="13.75" customHeight="1" x14ac:dyDescent="0.25">
      <c r="B230" s="47"/>
      <c r="C230" s="47"/>
      <c r="D230" s="47"/>
      <c r="E230" s="47"/>
      <c r="F230" s="47"/>
      <c r="G230" s="47"/>
      <c r="H230" s="47"/>
      <c r="I230" s="47"/>
      <c r="J230" s="47"/>
    </row>
    <row r="231" spans="2:10" s="1" customFormat="1" ht="13.75" customHeight="1" x14ac:dyDescent="0.25">
      <c r="B231" s="47"/>
      <c r="C231" s="47"/>
      <c r="D231" s="47"/>
      <c r="E231" s="47"/>
      <c r="F231" s="47"/>
      <c r="G231" s="47"/>
      <c r="H231" s="47"/>
      <c r="I231" s="47"/>
      <c r="J231" s="47"/>
    </row>
    <row r="232" spans="2:10" s="1" customFormat="1" ht="13.75" customHeight="1" x14ac:dyDescent="0.25">
      <c r="B232" s="47"/>
      <c r="C232" s="47"/>
      <c r="D232" s="47"/>
      <c r="E232" s="47"/>
      <c r="F232" s="47"/>
      <c r="G232" s="47"/>
      <c r="H232" s="47"/>
      <c r="I232" s="47"/>
      <c r="J232" s="47"/>
    </row>
    <row r="233" spans="2:10" s="1" customFormat="1" ht="13.75" customHeight="1" x14ac:dyDescent="0.25">
      <c r="B233" s="47"/>
      <c r="C233" s="47"/>
      <c r="D233" s="47"/>
      <c r="E233" s="47"/>
      <c r="F233" s="47"/>
      <c r="G233" s="47"/>
      <c r="H233" s="47"/>
      <c r="I233" s="47"/>
      <c r="J233" s="47"/>
    </row>
    <row r="234" spans="2:10" s="1" customFormat="1" ht="13.75" customHeight="1" x14ac:dyDescent="0.25">
      <c r="B234" s="47"/>
      <c r="C234" s="47"/>
      <c r="D234" s="47"/>
      <c r="E234" s="47"/>
      <c r="F234" s="47"/>
      <c r="G234" s="47"/>
      <c r="H234" s="47"/>
      <c r="I234" s="47"/>
      <c r="J234" s="47"/>
    </row>
    <row r="235" spans="2:10" s="1" customFormat="1" ht="13.75" customHeight="1" x14ac:dyDescent="0.25">
      <c r="B235" s="47"/>
      <c r="C235" s="47"/>
      <c r="D235" s="47"/>
      <c r="E235" s="47"/>
      <c r="F235" s="47"/>
      <c r="G235" s="47"/>
      <c r="H235" s="47"/>
      <c r="I235" s="47"/>
      <c r="J235" s="47"/>
    </row>
    <row r="236" spans="2:10" s="1" customFormat="1" ht="13.75" customHeight="1" x14ac:dyDescent="0.25">
      <c r="B236" s="47"/>
      <c r="C236" s="47"/>
      <c r="D236" s="47"/>
      <c r="E236" s="47"/>
      <c r="F236" s="47"/>
      <c r="G236" s="47"/>
      <c r="H236" s="47"/>
      <c r="I236" s="47"/>
      <c r="J236" s="47"/>
    </row>
    <row r="237" spans="2:10" s="1" customFormat="1" ht="13.75" customHeight="1" x14ac:dyDescent="0.25">
      <c r="B237" s="47"/>
      <c r="C237" s="47"/>
      <c r="D237" s="47"/>
      <c r="E237" s="47"/>
      <c r="F237" s="47"/>
      <c r="G237" s="47"/>
      <c r="H237" s="47"/>
      <c r="I237" s="47"/>
      <c r="J237" s="47"/>
    </row>
    <row r="238" spans="2:10" s="1" customFormat="1" ht="13.75" customHeight="1" x14ac:dyDescent="0.25">
      <c r="B238" s="47"/>
      <c r="C238" s="47"/>
      <c r="D238" s="47"/>
      <c r="E238" s="47"/>
      <c r="F238" s="47"/>
      <c r="G238" s="47"/>
      <c r="H238" s="47"/>
      <c r="I238" s="47"/>
      <c r="J238" s="47"/>
    </row>
    <row r="239" spans="2:10" s="1" customFormat="1" ht="13.75" customHeight="1" x14ac:dyDescent="0.25">
      <c r="B239" s="47"/>
      <c r="C239" s="47"/>
      <c r="D239" s="47"/>
      <c r="E239" s="47"/>
      <c r="F239" s="47"/>
      <c r="G239" s="47"/>
      <c r="H239" s="47"/>
      <c r="I239" s="47"/>
      <c r="J239" s="47"/>
    </row>
    <row r="240" spans="2:10" s="1" customFormat="1" ht="13.75" customHeight="1" x14ac:dyDescent="0.25">
      <c r="B240" s="47"/>
      <c r="C240" s="47"/>
      <c r="D240" s="47"/>
      <c r="E240" s="47"/>
      <c r="F240" s="47"/>
      <c r="G240" s="47"/>
      <c r="H240" s="47"/>
      <c r="I240" s="47"/>
      <c r="J240" s="47"/>
    </row>
    <row r="241" spans="2:10" s="1" customFormat="1" ht="13.75" customHeight="1" x14ac:dyDescent="0.25">
      <c r="B241" s="47"/>
      <c r="C241" s="47"/>
      <c r="D241" s="47"/>
      <c r="E241" s="47"/>
      <c r="F241" s="47"/>
      <c r="G241" s="47"/>
      <c r="H241" s="47"/>
      <c r="I241" s="47"/>
      <c r="J241" s="47"/>
    </row>
    <row r="242" spans="2:10" s="1" customFormat="1" ht="13.75" customHeight="1" x14ac:dyDescent="0.25">
      <c r="B242" s="47"/>
      <c r="C242" s="47"/>
      <c r="D242" s="47"/>
      <c r="E242" s="47"/>
      <c r="F242" s="47"/>
      <c r="G242" s="47"/>
      <c r="H242" s="47"/>
      <c r="I242" s="47"/>
      <c r="J242" s="47"/>
    </row>
    <row r="243" spans="2:10" s="1" customFormat="1" ht="13.75" customHeight="1" x14ac:dyDescent="0.25">
      <c r="B243" s="47"/>
      <c r="C243" s="47"/>
      <c r="D243" s="47"/>
      <c r="E243" s="47"/>
      <c r="F243" s="47"/>
      <c r="G243" s="47"/>
      <c r="H243" s="47"/>
      <c r="I243" s="47"/>
      <c r="J243" s="47"/>
    </row>
    <row r="244" spans="2:10" s="1" customFormat="1" ht="13.75" customHeight="1" x14ac:dyDescent="0.25">
      <c r="B244" s="47"/>
      <c r="C244" s="47"/>
      <c r="D244" s="47"/>
      <c r="E244" s="47"/>
      <c r="F244" s="47"/>
      <c r="G244" s="47"/>
      <c r="H244" s="47"/>
      <c r="I244" s="47"/>
      <c r="J244" s="47"/>
    </row>
    <row r="245" spans="2:10" s="1" customFormat="1" ht="13.75" customHeight="1" x14ac:dyDescent="0.25">
      <c r="B245" s="47"/>
      <c r="C245" s="47"/>
      <c r="D245" s="47"/>
      <c r="E245" s="47"/>
      <c r="F245" s="47"/>
      <c r="G245" s="47"/>
      <c r="H245" s="47"/>
      <c r="I245" s="47"/>
      <c r="J245" s="47"/>
    </row>
    <row r="246" spans="2:10" s="1" customFormat="1" ht="13.75" customHeight="1" x14ac:dyDescent="0.25">
      <c r="B246" s="47"/>
      <c r="C246" s="47"/>
      <c r="D246" s="47"/>
      <c r="E246" s="47"/>
      <c r="F246" s="47"/>
      <c r="G246" s="47"/>
      <c r="H246" s="47"/>
      <c r="I246" s="47"/>
      <c r="J246" s="47"/>
    </row>
    <row r="247" spans="2:10" s="1" customFormat="1" ht="13.75" customHeight="1" x14ac:dyDescent="0.25">
      <c r="B247" s="47"/>
      <c r="C247" s="47"/>
      <c r="D247" s="47"/>
      <c r="E247" s="47"/>
      <c r="F247" s="47"/>
      <c r="G247" s="47"/>
      <c r="H247" s="47"/>
      <c r="I247" s="47"/>
      <c r="J247" s="47"/>
    </row>
    <row r="248" spans="2:10" s="1" customFormat="1" ht="13.75" customHeight="1" x14ac:dyDescent="0.25">
      <c r="B248" s="47"/>
      <c r="C248" s="47"/>
      <c r="D248" s="47"/>
      <c r="E248" s="47"/>
      <c r="F248" s="47"/>
      <c r="G248" s="47"/>
      <c r="H248" s="47"/>
      <c r="I248" s="47"/>
      <c r="J248" s="47"/>
    </row>
    <row r="249" spans="2:10" s="1" customFormat="1" ht="13.75" customHeight="1" x14ac:dyDescent="0.25">
      <c r="B249" s="47"/>
      <c r="C249" s="47"/>
      <c r="D249" s="47"/>
      <c r="E249" s="47"/>
      <c r="F249" s="47"/>
      <c r="G249" s="47"/>
      <c r="H249" s="47"/>
      <c r="I249" s="47"/>
      <c r="J249" s="47"/>
    </row>
    <row r="250" spans="2:10" s="1" customFormat="1" ht="13.75" customHeight="1" x14ac:dyDescent="0.25">
      <c r="B250" s="47"/>
      <c r="C250" s="47"/>
      <c r="D250" s="47"/>
      <c r="E250" s="47"/>
      <c r="F250" s="47"/>
      <c r="G250" s="47"/>
      <c r="H250" s="47"/>
      <c r="I250" s="47"/>
      <c r="J250" s="47"/>
    </row>
    <row r="251" spans="2:10" s="1" customFormat="1" ht="13.75" customHeight="1" x14ac:dyDescent="0.25">
      <c r="B251" s="47"/>
      <c r="C251" s="47"/>
      <c r="D251" s="47"/>
      <c r="E251" s="47"/>
      <c r="F251" s="47"/>
      <c r="G251" s="47"/>
      <c r="H251" s="47"/>
      <c r="I251" s="47"/>
      <c r="J251" s="47"/>
    </row>
    <row r="252" spans="2:10" s="1" customFormat="1" ht="13.75" customHeight="1" x14ac:dyDescent="0.25">
      <c r="B252" s="47"/>
      <c r="C252" s="47"/>
      <c r="D252" s="47"/>
      <c r="E252" s="47"/>
      <c r="F252" s="47"/>
      <c r="G252" s="47"/>
      <c r="H252" s="47"/>
      <c r="I252" s="47"/>
      <c r="J252" s="47"/>
    </row>
    <row r="253" spans="2:10" s="1" customFormat="1" ht="13.75" customHeight="1" x14ac:dyDescent="0.25">
      <c r="B253" s="47"/>
      <c r="C253" s="47"/>
      <c r="D253" s="47"/>
      <c r="E253" s="47"/>
      <c r="F253" s="47"/>
      <c r="G253" s="47"/>
      <c r="H253" s="47"/>
      <c r="I253" s="47"/>
      <c r="J253" s="47"/>
    </row>
    <row r="254" spans="2:10" s="1" customFormat="1" ht="13.75" customHeight="1" x14ac:dyDescent="0.25">
      <c r="B254" s="47"/>
      <c r="C254" s="47"/>
      <c r="D254" s="47"/>
      <c r="E254" s="47"/>
      <c r="F254" s="47"/>
      <c r="G254" s="47"/>
      <c r="H254" s="47"/>
      <c r="I254" s="47"/>
      <c r="J254" s="47"/>
    </row>
    <row r="255" spans="2:10" s="1" customFormat="1" ht="13.75" customHeight="1" x14ac:dyDescent="0.25">
      <c r="B255" s="47"/>
      <c r="C255" s="47"/>
      <c r="D255" s="47"/>
      <c r="E255" s="47"/>
      <c r="F255" s="47"/>
      <c r="G255" s="47"/>
      <c r="H255" s="47"/>
      <c r="I255" s="47"/>
      <c r="J255" s="47"/>
    </row>
    <row r="256" spans="2:10" s="1" customFormat="1" ht="13.75" customHeight="1" x14ac:dyDescent="0.25">
      <c r="B256" s="47"/>
      <c r="C256" s="47"/>
      <c r="D256" s="47"/>
      <c r="E256" s="47"/>
      <c r="F256" s="47"/>
      <c r="G256" s="47"/>
      <c r="H256" s="47"/>
      <c r="I256" s="47"/>
      <c r="J256" s="47"/>
    </row>
    <row r="257" spans="2:10" s="1" customFormat="1" ht="13.75" customHeight="1" x14ac:dyDescent="0.25">
      <c r="B257" s="47"/>
      <c r="C257" s="47"/>
      <c r="D257" s="47"/>
      <c r="E257" s="47"/>
      <c r="F257" s="47"/>
      <c r="G257" s="47"/>
      <c r="H257" s="47"/>
      <c r="I257" s="47"/>
      <c r="J257" s="47"/>
    </row>
    <row r="258" spans="2:10" s="1" customFormat="1" ht="13.75" customHeight="1" x14ac:dyDescent="0.25">
      <c r="B258" s="47"/>
      <c r="C258" s="47"/>
      <c r="D258" s="47"/>
      <c r="E258" s="47"/>
      <c r="F258" s="47"/>
      <c r="G258" s="47"/>
      <c r="H258" s="47"/>
      <c r="I258" s="47"/>
      <c r="J258" s="47"/>
    </row>
    <row r="259" spans="2:10" s="1" customFormat="1" ht="13.75" customHeight="1" x14ac:dyDescent="0.25">
      <c r="B259" s="47"/>
      <c r="C259" s="47"/>
      <c r="D259" s="47"/>
      <c r="E259" s="47"/>
      <c r="F259" s="47"/>
      <c r="G259" s="47"/>
      <c r="H259" s="47"/>
      <c r="I259" s="47"/>
      <c r="J259" s="47"/>
    </row>
    <row r="260" spans="2:10" s="1" customFormat="1" ht="13.75" customHeight="1" x14ac:dyDescent="0.25">
      <c r="B260" s="47"/>
      <c r="C260" s="47"/>
      <c r="D260" s="47"/>
      <c r="E260" s="47"/>
      <c r="F260" s="47"/>
      <c r="G260" s="47"/>
      <c r="H260" s="47"/>
      <c r="I260" s="47"/>
      <c r="J260" s="47"/>
    </row>
    <row r="261" spans="2:10" s="1" customFormat="1" ht="13.75" customHeight="1" x14ac:dyDescent="0.25">
      <c r="B261" s="47"/>
      <c r="C261" s="47"/>
      <c r="D261" s="47"/>
      <c r="E261" s="47"/>
      <c r="F261" s="47"/>
      <c r="G261" s="47"/>
      <c r="H261" s="47"/>
      <c r="I261" s="47"/>
      <c r="J261" s="47"/>
    </row>
    <row r="262" spans="2:10" s="1" customFormat="1" ht="13.75" customHeight="1" x14ac:dyDescent="0.25">
      <c r="B262" s="47"/>
      <c r="C262" s="47"/>
      <c r="D262" s="47"/>
      <c r="E262" s="47"/>
      <c r="F262" s="47"/>
      <c r="G262" s="47"/>
      <c r="H262" s="47"/>
      <c r="I262" s="47"/>
      <c r="J262" s="47"/>
    </row>
    <row r="263" spans="2:10" s="1" customFormat="1" ht="13.75" customHeight="1" x14ac:dyDescent="0.25">
      <c r="B263" s="47"/>
      <c r="C263" s="47"/>
      <c r="D263" s="47"/>
      <c r="E263" s="47"/>
      <c r="F263" s="47"/>
      <c r="G263" s="47"/>
      <c r="H263" s="47"/>
      <c r="I263" s="47"/>
      <c r="J263" s="47"/>
    </row>
    <row r="264" spans="2:10" s="1" customFormat="1" ht="13.75" customHeight="1" x14ac:dyDescent="0.25">
      <c r="B264" s="47"/>
      <c r="C264" s="47"/>
      <c r="D264" s="47"/>
      <c r="E264" s="47"/>
      <c r="F264" s="47"/>
      <c r="G264" s="47"/>
      <c r="H264" s="47"/>
      <c r="I264" s="47"/>
      <c r="J264" s="47"/>
    </row>
    <row r="265" spans="2:10" s="1" customFormat="1" ht="13.75" customHeight="1" x14ac:dyDescent="0.25">
      <c r="B265" s="47"/>
      <c r="C265" s="47"/>
      <c r="D265" s="47"/>
      <c r="E265" s="47"/>
      <c r="F265" s="47"/>
      <c r="G265" s="47"/>
      <c r="H265" s="47"/>
      <c r="I265" s="47"/>
      <c r="J265" s="47"/>
    </row>
    <row r="266" spans="2:10" s="1" customFormat="1" ht="13.75" customHeight="1" x14ac:dyDescent="0.25">
      <c r="B266" s="47"/>
      <c r="C266" s="47"/>
      <c r="D266" s="47"/>
      <c r="E266" s="47"/>
      <c r="F266" s="47"/>
      <c r="G266" s="47"/>
      <c r="H266" s="47"/>
      <c r="I266" s="47"/>
      <c r="J266" s="47"/>
    </row>
    <row r="267" spans="2:10" s="1" customFormat="1" ht="13.75" customHeight="1" x14ac:dyDescent="0.25">
      <c r="B267" s="47"/>
      <c r="C267" s="47"/>
      <c r="D267" s="47"/>
      <c r="E267" s="47"/>
      <c r="F267" s="47"/>
      <c r="G267" s="47"/>
      <c r="H267" s="47"/>
      <c r="I267" s="47"/>
      <c r="J267" s="47"/>
    </row>
    <row r="268" spans="2:10" s="1" customFormat="1" ht="13.75" customHeight="1" x14ac:dyDescent="0.25">
      <c r="B268" s="47"/>
      <c r="C268" s="47"/>
      <c r="D268" s="47"/>
      <c r="E268" s="47"/>
      <c r="F268" s="47"/>
      <c r="G268" s="47"/>
      <c r="H268" s="47"/>
      <c r="I268" s="47"/>
      <c r="J268" s="47"/>
    </row>
    <row r="269" spans="2:10" s="1" customFormat="1" ht="13.75" customHeight="1" x14ac:dyDescent="0.25">
      <c r="B269" s="47"/>
      <c r="C269" s="47"/>
      <c r="D269" s="47"/>
      <c r="E269" s="47"/>
      <c r="F269" s="47"/>
      <c r="G269" s="47"/>
      <c r="H269" s="47"/>
      <c r="I269" s="47"/>
      <c r="J269" s="47"/>
    </row>
    <row r="270" spans="2:10" s="1" customFormat="1" ht="13.75" customHeight="1" x14ac:dyDescent="0.25">
      <c r="B270" s="47"/>
      <c r="C270" s="47"/>
      <c r="D270" s="47"/>
      <c r="E270" s="47"/>
      <c r="F270" s="47"/>
      <c r="G270" s="47"/>
      <c r="H270" s="47"/>
      <c r="I270" s="47"/>
      <c r="J270" s="47"/>
    </row>
    <row r="271" spans="2:10" s="1" customFormat="1" ht="13.75" customHeight="1" x14ac:dyDescent="0.25">
      <c r="B271" s="47"/>
      <c r="C271" s="47"/>
      <c r="D271" s="47"/>
      <c r="E271" s="47"/>
      <c r="F271" s="47"/>
      <c r="G271" s="47"/>
      <c r="H271" s="47"/>
      <c r="I271" s="47"/>
      <c r="J271" s="47"/>
    </row>
    <row r="272" spans="2:10" s="1" customFormat="1" ht="13.75" customHeight="1" x14ac:dyDescent="0.25">
      <c r="B272" s="47"/>
      <c r="C272" s="47"/>
      <c r="D272" s="47"/>
      <c r="E272" s="47"/>
      <c r="F272" s="47"/>
      <c r="G272" s="47"/>
      <c r="H272" s="47"/>
      <c r="I272" s="47"/>
      <c r="J272" s="47"/>
    </row>
    <row r="273" spans="2:10" s="1" customFormat="1" ht="13.75" customHeight="1" x14ac:dyDescent="0.25">
      <c r="B273" s="47"/>
      <c r="C273" s="47"/>
      <c r="D273" s="47"/>
      <c r="E273" s="47"/>
      <c r="F273" s="47"/>
      <c r="G273" s="47"/>
      <c r="H273" s="47"/>
      <c r="I273" s="47"/>
      <c r="J273" s="47"/>
    </row>
    <row r="274" spans="2:10" s="1" customFormat="1" ht="13.75" customHeight="1" x14ac:dyDescent="0.25">
      <c r="B274" s="47"/>
      <c r="C274" s="47"/>
      <c r="D274" s="47"/>
      <c r="E274" s="47"/>
      <c r="F274" s="47"/>
      <c r="G274" s="47"/>
      <c r="H274" s="47"/>
      <c r="I274" s="47"/>
      <c r="J274" s="47"/>
    </row>
    <row r="275" spans="2:10" s="1" customFormat="1" ht="13.75" customHeight="1" x14ac:dyDescent="0.25">
      <c r="B275" s="47"/>
      <c r="C275" s="47"/>
      <c r="D275" s="47"/>
      <c r="E275" s="47"/>
      <c r="F275" s="47"/>
      <c r="G275" s="47"/>
      <c r="H275" s="47"/>
      <c r="I275" s="47"/>
      <c r="J275" s="47"/>
    </row>
    <row r="276" spans="2:10" s="1" customFormat="1" ht="13.75" customHeight="1" x14ac:dyDescent="0.25">
      <c r="B276" s="47"/>
      <c r="C276" s="47"/>
      <c r="D276" s="47"/>
      <c r="E276" s="47"/>
      <c r="F276" s="47"/>
      <c r="G276" s="47"/>
      <c r="H276" s="47"/>
      <c r="I276" s="47"/>
      <c r="J276" s="47"/>
    </row>
    <row r="277" spans="2:10" s="1" customFormat="1" ht="13.75" customHeight="1" x14ac:dyDescent="0.25">
      <c r="B277" s="47"/>
      <c r="C277" s="47"/>
      <c r="D277" s="47"/>
      <c r="E277" s="47"/>
      <c r="F277" s="47"/>
      <c r="G277" s="47"/>
      <c r="H277" s="47"/>
      <c r="I277" s="47"/>
      <c r="J277" s="47"/>
    </row>
    <row r="278" spans="2:10" s="1" customFormat="1" ht="13.75" customHeight="1" x14ac:dyDescent="0.25">
      <c r="B278" s="47"/>
      <c r="C278" s="47"/>
      <c r="D278" s="47"/>
      <c r="E278" s="47"/>
      <c r="F278" s="47"/>
      <c r="G278" s="47"/>
      <c r="H278" s="47"/>
      <c r="I278" s="47"/>
      <c r="J278" s="47"/>
    </row>
    <row r="279" spans="2:10" s="1" customFormat="1" ht="13.75" customHeight="1" x14ac:dyDescent="0.25">
      <c r="B279" s="47"/>
      <c r="C279" s="47"/>
      <c r="D279" s="47"/>
      <c r="E279" s="47"/>
      <c r="F279" s="47"/>
      <c r="G279" s="47"/>
      <c r="H279" s="47"/>
      <c r="I279" s="47"/>
      <c r="J279" s="47"/>
    </row>
    <row r="280" spans="2:10" s="1" customFormat="1" ht="13.75" customHeight="1" x14ac:dyDescent="0.25">
      <c r="B280" s="47"/>
      <c r="C280" s="47"/>
      <c r="D280" s="47"/>
      <c r="E280" s="47"/>
      <c r="F280" s="47"/>
      <c r="G280" s="47"/>
      <c r="H280" s="47"/>
      <c r="I280" s="47"/>
      <c r="J280" s="47"/>
    </row>
    <row r="281" spans="2:10" s="1" customFormat="1" ht="13.75" customHeight="1" x14ac:dyDescent="0.25">
      <c r="B281" s="47"/>
      <c r="C281" s="47"/>
      <c r="D281" s="47"/>
      <c r="E281" s="47"/>
      <c r="F281" s="47"/>
      <c r="G281" s="47"/>
      <c r="H281" s="47"/>
      <c r="I281" s="47"/>
      <c r="J281" s="47"/>
    </row>
    <row r="282" spans="2:10" s="1" customFormat="1" ht="13.75" customHeight="1" x14ac:dyDescent="0.25">
      <c r="B282" s="47"/>
      <c r="C282" s="47"/>
      <c r="D282" s="47"/>
      <c r="E282" s="47"/>
      <c r="F282" s="47"/>
      <c r="G282" s="47"/>
      <c r="H282" s="47"/>
      <c r="I282" s="47"/>
      <c r="J282" s="47"/>
    </row>
    <row r="283" spans="2:10" s="1" customFormat="1" ht="13.75" customHeight="1" x14ac:dyDescent="0.25">
      <c r="B283" s="47"/>
      <c r="C283" s="47"/>
      <c r="D283" s="47"/>
      <c r="E283" s="47"/>
      <c r="F283" s="47"/>
      <c r="G283" s="47"/>
      <c r="H283" s="47"/>
      <c r="I283" s="47"/>
      <c r="J283" s="47"/>
    </row>
    <row r="284" spans="2:10" s="1" customFormat="1" ht="13.75" customHeight="1" x14ac:dyDescent="0.25">
      <c r="B284" s="47"/>
      <c r="C284" s="47"/>
      <c r="D284" s="47"/>
      <c r="E284" s="47"/>
      <c r="F284" s="47"/>
      <c r="G284" s="47"/>
      <c r="H284" s="47"/>
      <c r="I284" s="47"/>
      <c r="J284" s="47"/>
    </row>
    <row r="285" spans="2:10" s="1" customFormat="1" ht="13.75" customHeight="1" x14ac:dyDescent="0.25">
      <c r="B285" s="47"/>
      <c r="C285" s="47"/>
      <c r="D285" s="47"/>
      <c r="E285" s="47"/>
      <c r="F285" s="47"/>
      <c r="G285" s="47"/>
      <c r="H285" s="47"/>
      <c r="I285" s="47"/>
      <c r="J285" s="47"/>
    </row>
    <row r="286" spans="2:10" s="1" customFormat="1" ht="13.75" customHeight="1" x14ac:dyDescent="0.25">
      <c r="B286" s="47"/>
      <c r="C286" s="47"/>
      <c r="D286" s="47"/>
      <c r="E286" s="47"/>
      <c r="F286" s="47"/>
      <c r="G286" s="47"/>
      <c r="H286" s="47"/>
      <c r="I286" s="47"/>
      <c r="J286" s="47"/>
    </row>
    <row r="287" spans="2:10" s="1" customFormat="1" ht="13.75" customHeight="1" x14ac:dyDescent="0.25">
      <c r="B287" s="47"/>
      <c r="C287" s="47"/>
      <c r="D287" s="47"/>
      <c r="E287" s="47"/>
      <c r="F287" s="47"/>
      <c r="G287" s="47"/>
      <c r="H287" s="47"/>
      <c r="I287" s="47"/>
      <c r="J287" s="47"/>
    </row>
    <row r="288" spans="2:10" s="1" customFormat="1" ht="13.75" customHeight="1" x14ac:dyDescent="0.25">
      <c r="B288" s="47"/>
      <c r="C288" s="47"/>
      <c r="D288" s="47"/>
      <c r="E288" s="47"/>
      <c r="F288" s="47"/>
      <c r="G288" s="47"/>
      <c r="H288" s="47"/>
      <c r="I288" s="47"/>
      <c r="J288" s="47"/>
    </row>
    <row r="289" spans="2:10" s="1" customFormat="1" ht="13.75" customHeight="1" x14ac:dyDescent="0.25">
      <c r="B289" s="47"/>
      <c r="C289" s="47"/>
      <c r="D289" s="47"/>
      <c r="E289" s="47"/>
      <c r="F289" s="47"/>
      <c r="G289" s="47"/>
      <c r="H289" s="47"/>
      <c r="I289" s="47"/>
      <c r="J289" s="47"/>
    </row>
    <row r="290" spans="2:10" s="1" customFormat="1" ht="13.75" customHeight="1" x14ac:dyDescent="0.25">
      <c r="B290" s="47"/>
      <c r="C290" s="47"/>
      <c r="D290" s="47"/>
      <c r="E290" s="47"/>
      <c r="F290" s="47"/>
      <c r="G290" s="47"/>
      <c r="H290" s="47"/>
      <c r="I290" s="47"/>
      <c r="J290" s="47"/>
    </row>
    <row r="291" spans="2:10" s="1" customFormat="1" ht="13.75" customHeight="1" x14ac:dyDescent="0.25">
      <c r="B291" s="47"/>
      <c r="C291" s="47"/>
      <c r="D291" s="47"/>
      <c r="E291" s="47"/>
      <c r="F291" s="47"/>
      <c r="G291" s="47"/>
      <c r="H291" s="47"/>
      <c r="I291" s="47"/>
      <c r="J291" s="47"/>
    </row>
    <row r="292" spans="2:10" s="1" customFormat="1" ht="13.75" customHeight="1" x14ac:dyDescent="0.25">
      <c r="B292" s="47"/>
      <c r="C292" s="47"/>
      <c r="D292" s="47"/>
      <c r="E292" s="47"/>
      <c r="F292" s="47"/>
      <c r="G292" s="47"/>
      <c r="H292" s="47"/>
      <c r="I292" s="47"/>
      <c r="J292" s="47"/>
    </row>
    <row r="293" spans="2:10" s="1" customFormat="1" ht="13.75" customHeight="1" x14ac:dyDescent="0.25">
      <c r="B293" s="47"/>
      <c r="C293" s="47"/>
      <c r="D293" s="47"/>
      <c r="E293" s="47"/>
      <c r="F293" s="47"/>
      <c r="G293" s="47"/>
      <c r="H293" s="47"/>
      <c r="I293" s="47"/>
      <c r="J293" s="47"/>
    </row>
    <row r="294" spans="2:10" s="1" customFormat="1" ht="13.75" customHeight="1" x14ac:dyDescent="0.25">
      <c r="B294" s="47"/>
      <c r="C294" s="47"/>
      <c r="D294" s="47"/>
      <c r="E294" s="47"/>
      <c r="F294" s="47"/>
      <c r="G294" s="47"/>
      <c r="H294" s="47"/>
      <c r="I294" s="47"/>
      <c r="J294" s="47"/>
    </row>
    <row r="295" spans="2:10" s="1" customFormat="1" ht="13.75" customHeight="1" x14ac:dyDescent="0.25">
      <c r="B295" s="47"/>
      <c r="C295" s="47"/>
      <c r="D295" s="47"/>
      <c r="E295" s="47"/>
      <c r="F295" s="47"/>
      <c r="G295" s="47"/>
      <c r="H295" s="47"/>
      <c r="I295" s="47"/>
      <c r="J295" s="47"/>
    </row>
    <row r="296" spans="2:10" s="1" customFormat="1" ht="13.75" customHeight="1" x14ac:dyDescent="0.25">
      <c r="B296" s="47"/>
      <c r="C296" s="47"/>
      <c r="D296" s="47"/>
      <c r="E296" s="47"/>
      <c r="F296" s="47"/>
      <c r="G296" s="47"/>
      <c r="H296" s="47"/>
      <c r="I296" s="47"/>
      <c r="J296" s="47"/>
    </row>
    <row r="297" spans="2:10" s="1" customFormat="1" ht="13.75" customHeight="1" x14ac:dyDescent="0.25">
      <c r="B297" s="47"/>
      <c r="C297" s="47"/>
      <c r="D297" s="47"/>
      <c r="E297" s="47"/>
      <c r="F297" s="47"/>
      <c r="G297" s="47"/>
      <c r="H297" s="47"/>
      <c r="I297" s="47"/>
      <c r="J297" s="47"/>
    </row>
    <row r="298" spans="2:10" s="1" customFormat="1" ht="13.75" customHeight="1" x14ac:dyDescent="0.25">
      <c r="B298" s="47"/>
      <c r="C298" s="47"/>
      <c r="D298" s="47"/>
      <c r="E298" s="47"/>
      <c r="F298" s="47"/>
      <c r="G298" s="47"/>
      <c r="H298" s="47"/>
      <c r="I298" s="47"/>
      <c r="J298" s="47"/>
    </row>
    <row r="299" spans="2:10" s="1" customFormat="1" ht="13.75" customHeight="1" x14ac:dyDescent="0.25">
      <c r="B299" s="47"/>
      <c r="C299" s="47"/>
      <c r="D299" s="47"/>
      <c r="E299" s="47"/>
      <c r="F299" s="47"/>
      <c r="G299" s="47"/>
      <c r="H299" s="47"/>
      <c r="I299" s="47"/>
      <c r="J299" s="47"/>
    </row>
    <row r="300" spans="2:10" s="1" customFormat="1" ht="13.75" customHeight="1" x14ac:dyDescent="0.25">
      <c r="B300" s="47"/>
      <c r="C300" s="47"/>
      <c r="D300" s="47"/>
      <c r="E300" s="47"/>
      <c r="F300" s="47"/>
      <c r="G300" s="47"/>
      <c r="H300" s="47"/>
      <c r="I300" s="47"/>
      <c r="J300" s="47"/>
    </row>
    <row r="301" spans="2:10" s="1" customFormat="1" ht="13.75" customHeight="1" x14ac:dyDescent="0.25">
      <c r="B301" s="47"/>
      <c r="C301" s="47"/>
      <c r="D301" s="47"/>
      <c r="E301" s="47"/>
      <c r="F301" s="47"/>
      <c r="G301" s="47"/>
      <c r="H301" s="47"/>
      <c r="I301" s="47"/>
      <c r="J301" s="47"/>
    </row>
    <row r="302" spans="2:10" s="1" customFormat="1" ht="13.75" customHeight="1" x14ac:dyDescent="0.25">
      <c r="B302" s="47"/>
      <c r="C302" s="47"/>
      <c r="D302" s="47"/>
      <c r="E302" s="47"/>
      <c r="F302" s="47"/>
      <c r="G302" s="47"/>
      <c r="H302" s="47"/>
      <c r="I302" s="47"/>
      <c r="J302" s="47"/>
    </row>
    <row r="303" spans="2:10" s="1" customFormat="1" ht="13.75" customHeight="1" x14ac:dyDescent="0.25">
      <c r="B303" s="47"/>
      <c r="C303" s="47"/>
      <c r="D303" s="47"/>
      <c r="E303" s="47"/>
      <c r="F303" s="47"/>
      <c r="G303" s="47"/>
      <c r="H303" s="47"/>
      <c r="I303" s="47"/>
      <c r="J303" s="47"/>
    </row>
    <row r="304" spans="2:10" s="1" customFormat="1" ht="13.75" customHeight="1" x14ac:dyDescent="0.25">
      <c r="B304" s="47"/>
      <c r="C304" s="47"/>
      <c r="D304" s="47"/>
      <c r="E304" s="47"/>
      <c r="F304" s="47"/>
      <c r="G304" s="47"/>
      <c r="H304" s="47"/>
      <c r="I304" s="47"/>
      <c r="J304" s="47"/>
    </row>
    <row r="305" spans="2:10" s="1" customFormat="1" ht="13.75" customHeight="1" x14ac:dyDescent="0.25">
      <c r="B305" s="47"/>
      <c r="C305" s="47"/>
      <c r="D305" s="47"/>
      <c r="E305" s="47"/>
      <c r="F305" s="47"/>
      <c r="G305" s="47"/>
      <c r="H305" s="47"/>
      <c r="I305" s="47"/>
      <c r="J305" s="47"/>
    </row>
    <row r="306" spans="2:10" s="1" customFormat="1" ht="13.75" customHeight="1" x14ac:dyDescent="0.25">
      <c r="B306" s="47"/>
      <c r="C306" s="47"/>
      <c r="D306" s="47"/>
      <c r="E306" s="47"/>
      <c r="F306" s="47"/>
      <c r="G306" s="47"/>
      <c r="H306" s="47"/>
      <c r="I306" s="47"/>
      <c r="J306" s="47"/>
    </row>
    <row r="307" spans="2:10" s="1" customFormat="1" ht="13.75" customHeight="1" x14ac:dyDescent="0.25">
      <c r="B307" s="47"/>
      <c r="C307" s="47"/>
      <c r="D307" s="47"/>
      <c r="E307" s="47"/>
      <c r="F307" s="47"/>
      <c r="G307" s="47"/>
      <c r="H307" s="47"/>
      <c r="I307" s="47"/>
      <c r="J307" s="47"/>
    </row>
    <row r="308" spans="2:10" s="1" customFormat="1" ht="13.75" customHeight="1" x14ac:dyDescent="0.25">
      <c r="B308" s="47"/>
      <c r="C308" s="47"/>
      <c r="D308" s="47"/>
      <c r="E308" s="47"/>
      <c r="F308" s="47"/>
      <c r="G308" s="47"/>
      <c r="H308" s="47"/>
      <c r="I308" s="47"/>
      <c r="J308" s="47"/>
    </row>
    <row r="309" spans="2:10" s="1" customFormat="1" ht="13.75" customHeight="1" x14ac:dyDescent="0.25">
      <c r="B309" s="47"/>
      <c r="C309" s="47"/>
      <c r="D309" s="47"/>
      <c r="E309" s="47"/>
      <c r="F309" s="47"/>
      <c r="G309" s="47"/>
      <c r="H309" s="47"/>
      <c r="I309" s="47"/>
      <c r="J309" s="47"/>
    </row>
    <row r="310" spans="2:10" s="1" customFormat="1" ht="13.75" customHeight="1" x14ac:dyDescent="0.25">
      <c r="B310" s="47"/>
      <c r="C310" s="47"/>
      <c r="D310" s="47"/>
      <c r="E310" s="47"/>
      <c r="F310" s="47"/>
      <c r="G310" s="47"/>
      <c r="H310" s="47"/>
      <c r="I310" s="47"/>
      <c r="J310" s="47"/>
    </row>
    <row r="311" spans="2:10" s="1" customFormat="1" ht="13.75" customHeight="1" x14ac:dyDescent="0.25">
      <c r="B311" s="47"/>
      <c r="C311" s="47"/>
      <c r="D311" s="47"/>
      <c r="E311" s="47"/>
      <c r="F311" s="47"/>
      <c r="G311" s="47"/>
      <c r="H311" s="47"/>
      <c r="I311" s="47"/>
      <c r="J311" s="47"/>
    </row>
    <row r="312" spans="2:10" s="1" customFormat="1" ht="13.75" customHeight="1" x14ac:dyDescent="0.25">
      <c r="B312" s="47"/>
      <c r="C312" s="47"/>
      <c r="D312" s="47"/>
      <c r="E312" s="47"/>
      <c r="F312" s="47"/>
      <c r="G312" s="47"/>
      <c r="H312" s="47"/>
      <c r="I312" s="47"/>
      <c r="J312" s="47"/>
    </row>
    <row r="313" spans="2:10" s="1" customFormat="1" ht="13.75" customHeight="1" x14ac:dyDescent="0.25">
      <c r="B313" s="47"/>
      <c r="C313" s="47"/>
      <c r="D313" s="47"/>
      <c r="E313" s="47"/>
      <c r="F313" s="47"/>
      <c r="G313" s="47"/>
      <c r="H313" s="47"/>
      <c r="I313" s="47"/>
      <c r="J313" s="47"/>
    </row>
    <row r="314" spans="2:10" s="1" customFormat="1" ht="13.75" customHeight="1" x14ac:dyDescent="0.25">
      <c r="B314" s="47"/>
      <c r="C314" s="47"/>
      <c r="D314" s="47"/>
      <c r="E314" s="47"/>
      <c r="F314" s="47"/>
      <c r="G314" s="47"/>
      <c r="H314" s="47"/>
      <c r="I314" s="47"/>
      <c r="J314" s="47"/>
    </row>
    <row r="315" spans="2:10" s="1" customFormat="1" ht="13.75" customHeight="1" x14ac:dyDescent="0.25">
      <c r="B315" s="47"/>
      <c r="C315" s="47"/>
      <c r="D315" s="47"/>
      <c r="E315" s="47"/>
      <c r="F315" s="47"/>
      <c r="G315" s="47"/>
      <c r="H315" s="47"/>
      <c r="I315" s="47"/>
      <c r="J315" s="47"/>
    </row>
    <row r="316" spans="2:10" s="1" customFormat="1" ht="13.75" customHeight="1" x14ac:dyDescent="0.25">
      <c r="B316" s="47"/>
      <c r="C316" s="47"/>
      <c r="D316" s="47"/>
      <c r="E316" s="47"/>
      <c r="F316" s="47"/>
      <c r="G316" s="47"/>
      <c r="H316" s="47"/>
      <c r="I316" s="47"/>
      <c r="J316" s="47"/>
    </row>
    <row r="317" spans="2:10" s="1" customFormat="1" ht="13.75" customHeight="1" x14ac:dyDescent="0.25">
      <c r="B317" s="47"/>
      <c r="C317" s="47"/>
      <c r="D317" s="47"/>
      <c r="E317" s="47"/>
      <c r="F317" s="47"/>
      <c r="G317" s="47"/>
      <c r="H317" s="47"/>
      <c r="I317" s="47"/>
      <c r="J317" s="47"/>
    </row>
    <row r="318" spans="2:10" s="1" customFormat="1" ht="13.75" customHeight="1" x14ac:dyDescent="0.25">
      <c r="B318" s="47"/>
      <c r="C318" s="47"/>
      <c r="D318" s="47"/>
      <c r="E318" s="47"/>
      <c r="F318" s="47"/>
      <c r="G318" s="47"/>
      <c r="H318" s="47"/>
      <c r="I318" s="47"/>
      <c r="J318" s="47"/>
    </row>
    <row r="319" spans="2:10" s="1" customFormat="1" ht="13.75" customHeight="1" x14ac:dyDescent="0.25">
      <c r="B319" s="47"/>
      <c r="C319" s="47"/>
      <c r="D319" s="47"/>
      <c r="E319" s="47"/>
      <c r="F319" s="47"/>
      <c r="G319" s="47"/>
      <c r="H319" s="47"/>
      <c r="I319" s="47"/>
      <c r="J319" s="47"/>
    </row>
    <row r="320" spans="2:10" s="1" customFormat="1" ht="13.75" customHeight="1" x14ac:dyDescent="0.25">
      <c r="B320" s="47"/>
      <c r="C320" s="47"/>
      <c r="D320" s="47"/>
      <c r="E320" s="47"/>
      <c r="F320" s="47"/>
      <c r="G320" s="47"/>
      <c r="H320" s="47"/>
      <c r="I320" s="47"/>
      <c r="J320" s="47"/>
    </row>
    <row r="321" spans="2:10" s="1" customFormat="1" ht="13.75" customHeight="1" x14ac:dyDescent="0.25">
      <c r="B321" s="47"/>
      <c r="C321" s="47"/>
      <c r="D321" s="47"/>
      <c r="E321" s="47"/>
      <c r="F321" s="47"/>
      <c r="G321" s="47"/>
      <c r="H321" s="47"/>
      <c r="I321" s="47"/>
      <c r="J321" s="47"/>
    </row>
    <row r="322" spans="2:10" s="1" customFormat="1" ht="13.75" customHeight="1" x14ac:dyDescent="0.25">
      <c r="B322" s="47"/>
      <c r="C322" s="47"/>
      <c r="D322" s="47"/>
      <c r="E322" s="47"/>
      <c r="F322" s="47"/>
      <c r="G322" s="47"/>
      <c r="H322" s="47"/>
      <c r="I322" s="47"/>
      <c r="J322" s="47"/>
    </row>
    <row r="323" spans="2:10" s="1" customFormat="1" ht="13.75" customHeight="1" x14ac:dyDescent="0.25">
      <c r="B323" s="47"/>
      <c r="C323" s="47"/>
      <c r="D323" s="47"/>
      <c r="E323" s="47"/>
      <c r="F323" s="47"/>
      <c r="G323" s="47"/>
      <c r="H323" s="47"/>
      <c r="I323" s="47"/>
      <c r="J323" s="47"/>
    </row>
    <row r="324" spans="2:10" s="1" customFormat="1" ht="13.75" customHeight="1" x14ac:dyDescent="0.25">
      <c r="B324" s="47"/>
      <c r="C324" s="47"/>
      <c r="D324" s="47"/>
      <c r="E324" s="47"/>
      <c r="F324" s="47"/>
      <c r="G324" s="47"/>
      <c r="H324" s="47"/>
      <c r="I324" s="47"/>
      <c r="J324" s="47"/>
    </row>
    <row r="325" spans="2:10" s="1" customFormat="1" ht="13.75" customHeight="1" x14ac:dyDescent="0.25">
      <c r="B325" s="47"/>
      <c r="C325" s="47"/>
      <c r="D325" s="47"/>
      <c r="E325" s="47"/>
      <c r="F325" s="47"/>
      <c r="G325" s="47"/>
      <c r="H325" s="47"/>
      <c r="I325" s="47"/>
      <c r="J325" s="47"/>
    </row>
    <row r="326" spans="2:10" s="1" customFormat="1" ht="13.75" customHeight="1" x14ac:dyDescent="0.25">
      <c r="B326" s="47"/>
      <c r="C326" s="47"/>
      <c r="D326" s="47"/>
      <c r="E326" s="47"/>
      <c r="F326" s="47"/>
      <c r="G326" s="47"/>
      <c r="H326" s="47"/>
      <c r="I326" s="47"/>
      <c r="J326" s="47"/>
    </row>
    <row r="327" spans="2:10" s="1" customFormat="1" ht="13.75" customHeight="1" x14ac:dyDescent="0.25">
      <c r="B327" s="47"/>
      <c r="C327" s="47"/>
      <c r="D327" s="47"/>
      <c r="E327" s="47"/>
      <c r="F327" s="47"/>
      <c r="G327" s="47"/>
      <c r="H327" s="47"/>
      <c r="I327" s="47"/>
      <c r="J327" s="47"/>
    </row>
    <row r="328" spans="2:10" s="1" customFormat="1" ht="13.75" customHeight="1" x14ac:dyDescent="0.25">
      <c r="B328" s="47"/>
      <c r="C328" s="47"/>
      <c r="D328" s="47"/>
      <c r="E328" s="47"/>
      <c r="F328" s="47"/>
      <c r="G328" s="47"/>
      <c r="H328" s="47"/>
      <c r="I328" s="47"/>
      <c r="J328" s="47"/>
    </row>
    <row r="329" spans="2:10" s="1" customFormat="1" ht="13.75" customHeight="1" x14ac:dyDescent="0.25">
      <c r="B329" s="47"/>
      <c r="C329" s="47"/>
      <c r="D329" s="47"/>
      <c r="E329" s="47"/>
      <c r="F329" s="47"/>
      <c r="G329" s="47"/>
      <c r="H329" s="47"/>
      <c r="I329" s="47"/>
      <c r="J329" s="47"/>
    </row>
    <row r="330" spans="2:10" s="1" customFormat="1" ht="13.75" customHeight="1" x14ac:dyDescent="0.25">
      <c r="B330" s="47"/>
      <c r="C330" s="47"/>
      <c r="D330" s="47"/>
      <c r="E330" s="47"/>
      <c r="F330" s="47"/>
      <c r="G330" s="47"/>
      <c r="H330" s="47"/>
      <c r="I330" s="47"/>
      <c r="J330" s="47"/>
    </row>
    <row r="331" spans="2:10" s="1" customFormat="1" ht="13.75" customHeight="1" x14ac:dyDescent="0.25">
      <c r="B331" s="47"/>
      <c r="C331" s="47"/>
      <c r="D331" s="47"/>
      <c r="E331" s="47"/>
      <c r="F331" s="47"/>
      <c r="G331" s="47"/>
      <c r="H331" s="47"/>
      <c r="I331" s="47"/>
      <c r="J331" s="47"/>
    </row>
    <row r="332" spans="2:10" s="1" customFormat="1" ht="13.75" customHeight="1" x14ac:dyDescent="0.25">
      <c r="B332" s="47"/>
      <c r="C332" s="47"/>
      <c r="D332" s="47"/>
      <c r="E332" s="47"/>
      <c r="F332" s="47"/>
      <c r="G332" s="47"/>
      <c r="H332" s="47"/>
      <c r="I332" s="47"/>
      <c r="J332" s="47"/>
    </row>
    <row r="333" spans="2:10" s="1" customFormat="1" ht="13.75" customHeight="1" x14ac:dyDescent="0.25">
      <c r="B333" s="47"/>
      <c r="C333" s="47"/>
      <c r="D333" s="47"/>
      <c r="E333" s="47"/>
      <c r="F333" s="47"/>
      <c r="G333" s="47"/>
      <c r="H333" s="47"/>
      <c r="I333" s="47"/>
      <c r="J333" s="47"/>
    </row>
    <row r="334" spans="2:10" s="1" customFormat="1" ht="13.75" customHeight="1" x14ac:dyDescent="0.25">
      <c r="B334" s="47"/>
      <c r="C334" s="47"/>
      <c r="D334" s="47"/>
      <c r="E334" s="47"/>
      <c r="F334" s="47"/>
      <c r="G334" s="47"/>
      <c r="H334" s="47"/>
      <c r="I334" s="47"/>
      <c r="J334" s="47"/>
    </row>
    <row r="335" spans="2:10" s="1" customFormat="1" ht="13.75" customHeight="1" x14ac:dyDescent="0.25">
      <c r="B335" s="47"/>
      <c r="C335" s="47"/>
      <c r="D335" s="47"/>
      <c r="E335" s="47"/>
      <c r="F335" s="47"/>
      <c r="G335" s="47"/>
      <c r="H335" s="47"/>
      <c r="I335" s="47"/>
      <c r="J335" s="47"/>
    </row>
    <row r="336" spans="2:10" s="1" customFormat="1" ht="13.75" customHeight="1" x14ac:dyDescent="0.25">
      <c r="B336" s="47"/>
      <c r="C336" s="47"/>
      <c r="D336" s="47"/>
      <c r="E336" s="47"/>
      <c r="F336" s="47"/>
      <c r="G336" s="47"/>
      <c r="H336" s="47"/>
      <c r="I336" s="47"/>
      <c r="J336" s="47"/>
    </row>
    <row r="337" spans="2:10" s="1" customFormat="1" ht="13.75" customHeight="1" x14ac:dyDescent="0.25">
      <c r="B337" s="47"/>
      <c r="C337" s="47"/>
      <c r="D337" s="47"/>
      <c r="E337" s="47"/>
      <c r="F337" s="47"/>
      <c r="G337" s="47"/>
      <c r="H337" s="47"/>
      <c r="I337" s="47"/>
      <c r="J337" s="47"/>
    </row>
    <row r="338" spans="2:10" s="1" customFormat="1" ht="13.75" customHeight="1" x14ac:dyDescent="0.25">
      <c r="B338" s="47"/>
      <c r="C338" s="47"/>
      <c r="D338" s="47"/>
      <c r="E338" s="47"/>
      <c r="F338" s="47"/>
      <c r="G338" s="47"/>
      <c r="H338" s="47"/>
      <c r="I338" s="47"/>
      <c r="J338" s="47"/>
    </row>
    <row r="339" spans="2:10" s="1" customFormat="1" ht="13.75" customHeight="1" x14ac:dyDescent="0.25">
      <c r="B339" s="47"/>
      <c r="C339" s="47"/>
      <c r="D339" s="47"/>
      <c r="E339" s="47"/>
      <c r="F339" s="47"/>
      <c r="G339" s="47"/>
      <c r="H339" s="47"/>
      <c r="I339" s="47"/>
      <c r="J339" s="47"/>
    </row>
    <row r="340" spans="2:10" s="1" customFormat="1" ht="13.75" customHeight="1" x14ac:dyDescent="0.25">
      <c r="B340" s="47"/>
      <c r="C340" s="47"/>
      <c r="D340" s="47"/>
      <c r="E340" s="47"/>
      <c r="F340" s="47"/>
      <c r="G340" s="47"/>
      <c r="H340" s="47"/>
      <c r="I340" s="47"/>
      <c r="J340" s="47"/>
    </row>
    <row r="341" spans="2:10" s="1" customFormat="1" ht="13.75" customHeight="1" x14ac:dyDescent="0.25">
      <c r="B341" s="47"/>
      <c r="C341" s="47"/>
      <c r="D341" s="47"/>
      <c r="E341" s="47"/>
      <c r="F341" s="47"/>
      <c r="G341" s="47"/>
      <c r="H341" s="47"/>
      <c r="I341" s="47"/>
      <c r="J341" s="47"/>
    </row>
    <row r="342" spans="2:10" s="1" customFormat="1" ht="13.75" customHeight="1" x14ac:dyDescent="0.25">
      <c r="B342" s="47"/>
      <c r="C342" s="47"/>
      <c r="D342" s="47"/>
      <c r="E342" s="47"/>
      <c r="F342" s="47"/>
      <c r="G342" s="47"/>
      <c r="H342" s="47"/>
      <c r="I342" s="47"/>
      <c r="J342" s="47"/>
    </row>
    <row r="343" spans="2:10" s="1" customFormat="1" ht="13.75" customHeight="1" x14ac:dyDescent="0.25">
      <c r="B343" s="47"/>
      <c r="C343" s="47"/>
      <c r="D343" s="47"/>
      <c r="E343" s="47"/>
      <c r="F343" s="47"/>
      <c r="G343" s="47"/>
      <c r="H343" s="47"/>
      <c r="I343" s="47"/>
      <c r="J343" s="47"/>
    </row>
    <row r="344" spans="2:10" s="1" customFormat="1" ht="13.75" customHeight="1" x14ac:dyDescent="0.25">
      <c r="B344" s="47"/>
      <c r="C344" s="47"/>
      <c r="D344" s="47"/>
      <c r="E344" s="47"/>
      <c r="F344" s="47"/>
      <c r="G344" s="47"/>
      <c r="H344" s="47"/>
      <c r="I344" s="47"/>
      <c r="J344" s="47"/>
    </row>
    <row r="345" spans="2:10" s="1" customFormat="1" ht="13.75" customHeight="1" x14ac:dyDescent="0.25">
      <c r="B345" s="47"/>
      <c r="C345" s="47"/>
      <c r="D345" s="47"/>
      <c r="E345" s="47"/>
      <c r="F345" s="47"/>
      <c r="G345" s="47"/>
      <c r="H345" s="47"/>
      <c r="I345" s="47"/>
      <c r="J345" s="47"/>
    </row>
    <row r="346" spans="2:10" s="1" customFormat="1" ht="13.75" customHeight="1" x14ac:dyDescent="0.25">
      <c r="B346" s="47"/>
      <c r="C346" s="47"/>
      <c r="D346" s="47"/>
      <c r="E346" s="47"/>
      <c r="F346" s="47"/>
      <c r="G346" s="47"/>
      <c r="H346" s="47"/>
      <c r="I346" s="47"/>
      <c r="J346" s="47"/>
    </row>
    <row r="347" spans="2:10" s="1" customFormat="1" ht="13.75" customHeight="1" x14ac:dyDescent="0.25">
      <c r="B347" s="47"/>
      <c r="C347" s="47"/>
      <c r="D347" s="47"/>
      <c r="E347" s="47"/>
      <c r="F347" s="47"/>
      <c r="G347" s="47"/>
      <c r="H347" s="47"/>
      <c r="I347" s="47"/>
      <c r="J347" s="47"/>
    </row>
    <row r="348" spans="2:10" s="1" customFormat="1" ht="13.75" customHeight="1" x14ac:dyDescent="0.25">
      <c r="B348" s="47"/>
      <c r="C348" s="47"/>
      <c r="D348" s="47"/>
      <c r="E348" s="47"/>
      <c r="F348" s="47"/>
      <c r="G348" s="47"/>
      <c r="H348" s="47"/>
      <c r="I348" s="47"/>
      <c r="J348" s="47"/>
    </row>
    <row r="349" spans="2:10" s="1" customFormat="1" ht="13.75" customHeight="1" x14ac:dyDescent="0.25">
      <c r="B349" s="47"/>
      <c r="C349" s="47"/>
      <c r="D349" s="47"/>
      <c r="E349" s="47"/>
      <c r="F349" s="47"/>
      <c r="G349" s="47"/>
      <c r="H349" s="47"/>
      <c r="I349" s="47"/>
      <c r="J349" s="47"/>
    </row>
    <row r="350" spans="2:10" s="1" customFormat="1" ht="13.75" customHeight="1" x14ac:dyDescent="0.25">
      <c r="B350" s="47"/>
      <c r="C350" s="47"/>
      <c r="D350" s="47"/>
      <c r="E350" s="47"/>
      <c r="F350" s="47"/>
      <c r="G350" s="47"/>
      <c r="H350" s="47"/>
      <c r="I350" s="47"/>
      <c r="J350" s="47"/>
    </row>
    <row r="351" spans="2:10" s="1" customFormat="1" ht="13.75" customHeight="1" x14ac:dyDescent="0.25">
      <c r="B351" s="47"/>
      <c r="C351" s="47"/>
      <c r="D351" s="47"/>
      <c r="E351" s="47"/>
      <c r="F351" s="47"/>
      <c r="G351" s="47"/>
      <c r="H351" s="47"/>
      <c r="I351" s="47"/>
      <c r="J351" s="47"/>
    </row>
    <row r="352" spans="2:10" s="1" customFormat="1" ht="13.75" customHeight="1" x14ac:dyDescent="0.25">
      <c r="B352" s="47"/>
      <c r="C352" s="47"/>
      <c r="D352" s="47"/>
      <c r="E352" s="47"/>
      <c r="F352" s="47"/>
      <c r="G352" s="47"/>
      <c r="H352" s="47"/>
      <c r="I352" s="47"/>
      <c r="J352" s="47"/>
    </row>
    <row r="353" spans="2:10" s="1" customFormat="1" ht="13.75" customHeight="1" x14ac:dyDescent="0.25">
      <c r="B353" s="47"/>
      <c r="C353" s="47"/>
      <c r="D353" s="47"/>
      <c r="E353" s="47"/>
      <c r="F353" s="47"/>
      <c r="G353" s="47"/>
      <c r="H353" s="47"/>
      <c r="I353" s="47"/>
      <c r="J353" s="47"/>
    </row>
    <row r="354" spans="2:10" s="1" customFormat="1" ht="13.75" customHeight="1" x14ac:dyDescent="0.25">
      <c r="B354" s="47"/>
      <c r="C354" s="47"/>
      <c r="D354" s="47"/>
      <c r="E354" s="47"/>
      <c r="F354" s="47"/>
      <c r="G354" s="47"/>
      <c r="H354" s="47"/>
      <c r="I354" s="47"/>
      <c r="J354" s="47"/>
    </row>
    <row r="355" spans="2:10" s="1" customFormat="1" ht="13.75" customHeight="1" x14ac:dyDescent="0.25">
      <c r="B355" s="47"/>
      <c r="C355" s="47"/>
      <c r="D355" s="47"/>
      <c r="E355" s="47"/>
      <c r="F355" s="47"/>
      <c r="G355" s="47"/>
      <c r="H355" s="47"/>
      <c r="I355" s="47"/>
      <c r="J355" s="47"/>
    </row>
    <row r="356" spans="2:10" s="1" customFormat="1" ht="13.75" customHeight="1" x14ac:dyDescent="0.25">
      <c r="B356" s="47"/>
      <c r="C356" s="47"/>
      <c r="D356" s="47"/>
      <c r="E356" s="47"/>
      <c r="F356" s="47"/>
      <c r="G356" s="47"/>
      <c r="H356" s="47"/>
      <c r="I356" s="47"/>
      <c r="J356" s="47"/>
    </row>
    <row r="357" spans="2:10" s="1" customFormat="1" ht="13.75" customHeight="1" x14ac:dyDescent="0.25">
      <c r="B357" s="47"/>
      <c r="C357" s="47"/>
      <c r="D357" s="47"/>
      <c r="E357" s="47"/>
      <c r="F357" s="47"/>
      <c r="G357" s="47"/>
      <c r="H357" s="47"/>
      <c r="I357" s="47"/>
      <c r="J357" s="47"/>
    </row>
    <row r="358" spans="2:10" s="1" customFormat="1" ht="13.75" customHeight="1" x14ac:dyDescent="0.25">
      <c r="B358" s="47"/>
      <c r="C358" s="47"/>
      <c r="D358" s="47"/>
      <c r="E358" s="47"/>
      <c r="F358" s="47"/>
      <c r="G358" s="47"/>
      <c r="H358" s="47"/>
      <c r="I358" s="47"/>
      <c r="J358" s="47"/>
    </row>
    <row r="359" spans="2:10" s="1" customFormat="1" ht="13.75" customHeight="1" x14ac:dyDescent="0.25">
      <c r="B359" s="47"/>
      <c r="C359" s="47"/>
      <c r="D359" s="47"/>
      <c r="E359" s="47"/>
      <c r="F359" s="47"/>
      <c r="G359" s="47"/>
      <c r="H359" s="47"/>
      <c r="I359" s="47"/>
      <c r="J359" s="47"/>
    </row>
    <row r="360" spans="2:10" s="1" customFormat="1" ht="13.75" customHeight="1" x14ac:dyDescent="0.25">
      <c r="B360" s="47"/>
      <c r="C360" s="47"/>
      <c r="D360" s="47"/>
      <c r="E360" s="47"/>
      <c r="F360" s="47"/>
      <c r="G360" s="47"/>
      <c r="H360" s="47"/>
      <c r="I360" s="47"/>
      <c r="J360" s="47"/>
    </row>
    <row r="361" spans="2:10" s="1" customFormat="1" ht="13.75" customHeight="1" x14ac:dyDescent="0.25">
      <c r="B361" s="47"/>
      <c r="C361" s="47"/>
      <c r="D361" s="47"/>
      <c r="E361" s="47"/>
      <c r="F361" s="47"/>
      <c r="G361" s="47"/>
      <c r="H361" s="47"/>
      <c r="I361" s="47"/>
      <c r="J361" s="47"/>
    </row>
    <row r="362" spans="2:10" s="1" customFormat="1" ht="13.75" customHeight="1" x14ac:dyDescent="0.25">
      <c r="B362" s="47"/>
      <c r="C362" s="47"/>
      <c r="D362" s="47"/>
      <c r="E362" s="47"/>
      <c r="F362" s="47"/>
      <c r="G362" s="47"/>
      <c r="H362" s="47"/>
      <c r="I362" s="47"/>
      <c r="J362" s="47"/>
    </row>
    <row r="363" spans="2:10" s="1" customFormat="1" ht="13.75" customHeight="1" x14ac:dyDescent="0.25">
      <c r="B363" s="47"/>
      <c r="C363" s="47"/>
      <c r="D363" s="47"/>
      <c r="E363" s="47"/>
      <c r="F363" s="47"/>
      <c r="G363" s="47"/>
      <c r="H363" s="47"/>
      <c r="I363" s="47"/>
      <c r="J363" s="47"/>
    </row>
    <row r="364" spans="2:10" s="1" customFormat="1" ht="13.75" customHeight="1" x14ac:dyDescent="0.25">
      <c r="B364" s="47"/>
      <c r="C364" s="47"/>
      <c r="D364" s="47"/>
      <c r="E364" s="47"/>
      <c r="F364" s="47"/>
      <c r="G364" s="47"/>
      <c r="H364" s="47"/>
      <c r="I364" s="47"/>
      <c r="J364" s="47"/>
    </row>
    <row r="365" spans="2:10" s="1" customFormat="1" ht="13.75" customHeight="1" x14ac:dyDescent="0.25">
      <c r="B365" s="47"/>
      <c r="C365" s="47"/>
      <c r="D365" s="47"/>
      <c r="E365" s="47"/>
      <c r="F365" s="47"/>
      <c r="G365" s="47"/>
      <c r="H365" s="47"/>
      <c r="I365" s="47"/>
      <c r="J365" s="47"/>
    </row>
    <row r="366" spans="2:10" s="1" customFormat="1" ht="13.75" customHeight="1" x14ac:dyDescent="0.25">
      <c r="B366" s="47"/>
      <c r="C366" s="47"/>
      <c r="D366" s="47"/>
      <c r="E366" s="47"/>
      <c r="F366" s="47"/>
      <c r="G366" s="47"/>
      <c r="H366" s="47"/>
      <c r="I366" s="47"/>
      <c r="J366" s="47"/>
    </row>
    <row r="367" spans="2:10" s="1" customFormat="1" ht="13.75" customHeight="1" x14ac:dyDescent="0.25">
      <c r="B367" s="47"/>
      <c r="C367" s="47"/>
      <c r="D367" s="47"/>
      <c r="E367" s="47"/>
      <c r="F367" s="47"/>
      <c r="G367" s="47"/>
      <c r="H367" s="47"/>
      <c r="I367" s="47"/>
      <c r="J367" s="47"/>
    </row>
    <row r="368" spans="2:10" s="1" customFormat="1" ht="13.75" customHeight="1" x14ac:dyDescent="0.25">
      <c r="B368" s="47"/>
      <c r="C368" s="47"/>
      <c r="D368" s="47"/>
      <c r="E368" s="47"/>
      <c r="F368" s="47"/>
      <c r="G368" s="47"/>
      <c r="H368" s="47"/>
      <c r="I368" s="47"/>
      <c r="J368" s="47"/>
    </row>
    <row r="369" spans="2:10" s="1" customFormat="1" ht="13.75" customHeight="1" x14ac:dyDescent="0.25">
      <c r="B369" s="47"/>
      <c r="C369" s="47"/>
      <c r="D369" s="47"/>
      <c r="E369" s="47"/>
      <c r="F369" s="47"/>
      <c r="G369" s="47"/>
      <c r="H369" s="47"/>
      <c r="I369" s="47"/>
      <c r="J369" s="47"/>
    </row>
    <row r="370" spans="2:10" s="1" customFormat="1" ht="13.75" customHeight="1" x14ac:dyDescent="0.25">
      <c r="B370" s="47"/>
      <c r="C370" s="47"/>
      <c r="D370" s="47"/>
      <c r="E370" s="47"/>
      <c r="F370" s="47"/>
      <c r="G370" s="47"/>
      <c r="H370" s="47"/>
      <c r="I370" s="47"/>
      <c r="J370" s="47"/>
    </row>
    <row r="371" spans="2:10" s="1" customFormat="1" ht="13.75" customHeight="1" x14ac:dyDescent="0.25">
      <c r="B371" s="47"/>
      <c r="C371" s="47"/>
      <c r="D371" s="47"/>
      <c r="E371" s="47"/>
      <c r="F371" s="47"/>
      <c r="G371" s="47"/>
      <c r="H371" s="47"/>
      <c r="I371" s="47"/>
      <c r="J371" s="47"/>
    </row>
    <row r="372" spans="2:10" s="1" customFormat="1" ht="13.75" customHeight="1" x14ac:dyDescent="0.25">
      <c r="B372" s="47"/>
      <c r="C372" s="47"/>
      <c r="D372" s="47"/>
      <c r="E372" s="47"/>
      <c r="F372" s="47"/>
      <c r="G372" s="47"/>
      <c r="H372" s="47"/>
      <c r="I372" s="47"/>
      <c r="J372" s="47"/>
    </row>
    <row r="373" spans="2:10" s="1" customFormat="1" ht="13.75" customHeight="1" x14ac:dyDescent="0.25">
      <c r="B373" s="47"/>
      <c r="C373" s="47"/>
      <c r="D373" s="47"/>
      <c r="E373" s="47"/>
      <c r="F373" s="47"/>
      <c r="G373" s="47"/>
      <c r="H373" s="47"/>
      <c r="I373" s="47"/>
      <c r="J373" s="47"/>
    </row>
    <row r="374" spans="2:10" s="1" customFormat="1" ht="13.75" customHeight="1" x14ac:dyDescent="0.25">
      <c r="B374" s="47"/>
      <c r="C374" s="47"/>
      <c r="D374" s="47"/>
      <c r="E374" s="47"/>
      <c r="F374" s="47"/>
      <c r="G374" s="47"/>
      <c r="H374" s="47"/>
      <c r="I374" s="47"/>
      <c r="J374" s="47"/>
    </row>
    <row r="375" spans="2:10" s="1" customFormat="1" ht="13.75" customHeight="1" x14ac:dyDescent="0.25">
      <c r="B375" s="47"/>
      <c r="C375" s="47"/>
      <c r="D375" s="47"/>
      <c r="E375" s="47"/>
      <c r="F375" s="47"/>
      <c r="G375" s="47"/>
      <c r="H375" s="47"/>
      <c r="I375" s="47"/>
      <c r="J375" s="47"/>
    </row>
    <row r="376" spans="2:10" s="1" customFormat="1" ht="13.75" customHeight="1" x14ac:dyDescent="0.25">
      <c r="B376" s="47"/>
      <c r="C376" s="47"/>
      <c r="D376" s="47"/>
      <c r="E376" s="47"/>
      <c r="F376" s="47"/>
      <c r="G376" s="47"/>
      <c r="H376" s="47"/>
      <c r="I376" s="47"/>
      <c r="J376" s="47"/>
    </row>
    <row r="377" spans="2:10" s="1" customFormat="1" ht="13.75" customHeight="1" x14ac:dyDescent="0.25">
      <c r="B377" s="47"/>
      <c r="C377" s="47"/>
      <c r="D377" s="47"/>
      <c r="E377" s="47"/>
      <c r="F377" s="47"/>
      <c r="G377" s="47"/>
      <c r="H377" s="47"/>
      <c r="I377" s="47"/>
      <c r="J377" s="47"/>
    </row>
    <row r="378" spans="2:10" s="1" customFormat="1" ht="13.75" customHeight="1" x14ac:dyDescent="0.25">
      <c r="B378" s="47"/>
      <c r="C378" s="47"/>
      <c r="D378" s="47"/>
      <c r="E378" s="47"/>
      <c r="F378" s="47"/>
      <c r="G378" s="47"/>
      <c r="H378" s="47"/>
      <c r="I378" s="47"/>
      <c r="J378" s="47"/>
    </row>
    <row r="379" spans="2:10" s="1" customFormat="1" ht="13.75" customHeight="1" x14ac:dyDescent="0.25">
      <c r="B379" s="47"/>
      <c r="C379" s="47"/>
      <c r="D379" s="47"/>
      <c r="E379" s="47"/>
      <c r="F379" s="47"/>
      <c r="G379" s="47"/>
      <c r="H379" s="47"/>
      <c r="I379" s="47"/>
      <c r="J379" s="47"/>
    </row>
    <row r="380" spans="2:10" s="1" customFormat="1" ht="13.75" customHeight="1" x14ac:dyDescent="0.25">
      <c r="B380" s="47"/>
      <c r="C380" s="47"/>
      <c r="D380" s="47"/>
      <c r="E380" s="47"/>
      <c r="F380" s="47"/>
      <c r="G380" s="47"/>
      <c r="H380" s="47"/>
      <c r="I380" s="47"/>
      <c r="J380" s="47"/>
    </row>
    <row r="381" spans="2:10" s="1" customFormat="1" ht="13.75" customHeight="1" x14ac:dyDescent="0.25">
      <c r="B381" s="47"/>
      <c r="C381" s="47"/>
      <c r="D381" s="47"/>
      <c r="E381" s="47"/>
      <c r="F381" s="47"/>
      <c r="G381" s="47"/>
      <c r="H381" s="47"/>
      <c r="I381" s="47"/>
      <c r="J381" s="47"/>
    </row>
    <row r="382" spans="2:10" s="1" customFormat="1" ht="13.75" customHeight="1" x14ac:dyDescent="0.25">
      <c r="B382" s="47"/>
      <c r="C382" s="47"/>
      <c r="D382" s="47"/>
      <c r="E382" s="47"/>
      <c r="F382" s="47"/>
      <c r="G382" s="47"/>
      <c r="H382" s="47"/>
      <c r="I382" s="47"/>
      <c r="J382" s="47"/>
    </row>
    <row r="383" spans="2:10" s="1" customFormat="1" ht="13.75" customHeight="1" x14ac:dyDescent="0.25">
      <c r="B383" s="47"/>
      <c r="C383" s="47"/>
      <c r="D383" s="47"/>
      <c r="E383" s="47"/>
      <c r="F383" s="47"/>
      <c r="G383" s="47"/>
      <c r="H383" s="47"/>
      <c r="I383" s="47"/>
      <c r="J383" s="47"/>
    </row>
    <row r="384" spans="2:10" s="1" customFormat="1" ht="13.75" customHeight="1" x14ac:dyDescent="0.25">
      <c r="B384" s="47"/>
      <c r="C384" s="47"/>
      <c r="D384" s="47"/>
      <c r="E384" s="47"/>
      <c r="F384" s="47"/>
      <c r="G384" s="47"/>
      <c r="H384" s="47"/>
      <c r="I384" s="47"/>
      <c r="J384" s="47"/>
    </row>
    <row r="385" spans="2:10" s="1" customFormat="1" ht="13.75" customHeight="1" x14ac:dyDescent="0.25">
      <c r="B385" s="47"/>
      <c r="C385" s="47"/>
      <c r="D385" s="47"/>
      <c r="E385" s="47"/>
      <c r="F385" s="47"/>
      <c r="G385" s="47"/>
      <c r="H385" s="47"/>
      <c r="I385" s="47"/>
      <c r="J385" s="47"/>
    </row>
    <row r="386" spans="2:10" s="1" customFormat="1" ht="13.75" customHeight="1" x14ac:dyDescent="0.25">
      <c r="B386" s="47"/>
      <c r="C386" s="47"/>
      <c r="D386" s="47"/>
      <c r="E386" s="47"/>
      <c r="F386" s="47"/>
      <c r="G386" s="47"/>
      <c r="H386" s="47"/>
      <c r="I386" s="47"/>
      <c r="J386" s="47"/>
    </row>
    <row r="387" spans="2:10" s="1" customFormat="1" ht="13.75" customHeight="1" x14ac:dyDescent="0.25">
      <c r="B387" s="47"/>
      <c r="C387" s="47"/>
      <c r="D387" s="47"/>
      <c r="E387" s="47"/>
      <c r="F387" s="47"/>
      <c r="G387" s="47"/>
      <c r="H387" s="47"/>
      <c r="I387" s="47"/>
      <c r="J387" s="47"/>
    </row>
    <row r="388" spans="2:10" s="1" customFormat="1" ht="13.75" customHeight="1" x14ac:dyDescent="0.25">
      <c r="B388" s="47"/>
      <c r="C388" s="47"/>
      <c r="D388" s="47"/>
      <c r="E388" s="47"/>
      <c r="F388" s="47"/>
      <c r="G388" s="47"/>
      <c r="H388" s="47"/>
      <c r="I388" s="47"/>
      <c r="J388" s="47"/>
    </row>
    <row r="389" spans="2:10" s="1" customFormat="1" ht="13.75" customHeight="1" x14ac:dyDescent="0.25">
      <c r="B389" s="47"/>
      <c r="C389" s="47"/>
      <c r="D389" s="47"/>
      <c r="E389" s="47"/>
      <c r="F389" s="47"/>
      <c r="G389" s="47"/>
      <c r="H389" s="47"/>
      <c r="I389" s="47"/>
      <c r="J389" s="47"/>
    </row>
  </sheetData>
  <customSheetViews>
    <customSheetView guid="{EDC1BD6E-863A-4FC6-A3A9-F32079F4F0C1}">
      <selection activeCell="N36" sqref="N36"/>
      <pageMargins left="0" right="0" top="0" bottom="0" header="0" footer="0"/>
    </customSheetView>
  </customSheetViews>
  <mergeCells count="11">
    <mergeCell ref="L3:O6"/>
    <mergeCell ref="B17:J19"/>
    <mergeCell ref="B12:J12"/>
    <mergeCell ref="B13:J13"/>
    <mergeCell ref="B15:J15"/>
    <mergeCell ref="B3:J3"/>
    <mergeCell ref="B5:J5"/>
    <mergeCell ref="B7:J7"/>
    <mergeCell ref="B8:J8"/>
    <mergeCell ref="B10:J10"/>
    <mergeCell ref="B16:J16"/>
  </mergeCells>
  <pageMargins left="0.59055118110236227" right="0.59055118110236227" top="0.59055118110236227" bottom="0.59055118110236227" header="0" footer="0"/>
  <pageSetup paperSize="9" scale="92" orientation="portrait" r:id="rId1"/>
  <headerFoot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9">
    <tabColor rgb="FF92D050"/>
    <pageSetUpPr fitToPage="1"/>
  </sheetPr>
  <dimension ref="A1:Q66"/>
  <sheetViews>
    <sheetView topLeftCell="A2" workbookViewId="0"/>
  </sheetViews>
  <sheetFormatPr defaultColWidth="9.1796875" defaultRowHeight="14.15" customHeight="1" x14ac:dyDescent="0.35"/>
  <cols>
    <col min="1" max="1" width="1.26953125" style="31" customWidth="1"/>
    <col min="2" max="2" width="43.1796875" style="1" customWidth="1"/>
    <col min="3" max="4" width="11.1796875" style="1" customWidth="1"/>
    <col min="5" max="5" width="3.81640625" customWidth="1"/>
    <col min="6" max="6" width="39.7265625" style="1" customWidth="1"/>
    <col min="7" max="16384" width="9.1796875" style="1"/>
  </cols>
  <sheetData>
    <row r="1" spans="1:17" s="245" customFormat="1" ht="14.15" hidden="1" customHeight="1" x14ac:dyDescent="0.35">
      <c r="A1" s="243"/>
      <c r="E1" s="237"/>
      <c r="F1" s="381"/>
      <c r="G1" s="381"/>
      <c r="H1" s="381"/>
      <c r="I1" s="381"/>
      <c r="J1" s="381"/>
      <c r="K1" s="381"/>
      <c r="L1" s="381"/>
      <c r="M1" s="381"/>
      <c r="N1" s="381"/>
      <c r="O1" s="381"/>
      <c r="P1" s="381"/>
      <c r="Q1" s="381"/>
    </row>
    <row r="2" spans="1:17" ht="14.15" customHeight="1" x14ac:dyDescent="0.35">
      <c r="A2" s="31">
        <f>'9-12 Pens&amp; FinIE'!A59+1.1</f>
        <v>13.1</v>
      </c>
      <c r="B2" s="14" t="str">
        <f>"Note " &amp;A2&amp; " Intangible assets - " &amp; CurrentFY</f>
        <v>Note 13.1 Intangible assets - 2024/25</v>
      </c>
      <c r="E2" s="32">
        <f>A2+0.1</f>
        <v>13.2</v>
      </c>
      <c r="I2" s="159"/>
      <c r="J2" s="159"/>
      <c r="K2" s="159"/>
      <c r="L2" s="159"/>
      <c r="M2" s="159"/>
      <c r="N2" s="159"/>
      <c r="O2" s="159"/>
      <c r="P2" s="159"/>
      <c r="Q2" s="159"/>
    </row>
    <row r="3" spans="1:17" ht="27.75" customHeight="1" x14ac:dyDescent="0.25">
      <c r="B3" s="14"/>
      <c r="C3" s="226" t="s">
        <v>916</v>
      </c>
      <c r="D3" s="226" t="s">
        <v>917</v>
      </c>
      <c r="E3" s="308"/>
    </row>
    <row r="4" spans="1:17" ht="14.15" customHeight="1" x14ac:dyDescent="0.35">
      <c r="B4" s="14"/>
      <c r="C4" s="80" t="s">
        <v>542</v>
      </c>
      <c r="D4" s="80" t="s">
        <v>542</v>
      </c>
    </row>
    <row r="5" spans="1:17" ht="33.75" customHeight="1" x14ac:dyDescent="0.35">
      <c r="B5" s="14" t="str">
        <f>"Valuation / gross cost at " &amp; TEXT(CurrentYearStart,"d mmmm yyyy") &amp; " - brought forward"</f>
        <v>Valuation / gross cost at 1 April 2024 - brought forward</v>
      </c>
      <c r="C5" s="414">
        <f>C43</f>
        <v>6929</v>
      </c>
      <c r="D5" s="50">
        <f t="shared" ref="D5:D13" si="0">SUM(C5:C5)</f>
        <v>6929</v>
      </c>
    </row>
    <row r="6" spans="1:17" ht="14.15" hidden="1" customHeight="1" x14ac:dyDescent="0.35">
      <c r="B6" s="14" t="s">
        <v>918</v>
      </c>
      <c r="C6" s="414">
        <v>0</v>
      </c>
      <c r="D6" s="50">
        <f t="shared" si="0"/>
        <v>0</v>
      </c>
    </row>
    <row r="7" spans="1:17" s="245" customFormat="1" ht="14.15" hidden="1" customHeight="1" x14ac:dyDescent="0.35">
      <c r="A7" s="243"/>
      <c r="B7" s="216" t="s">
        <v>920</v>
      </c>
      <c r="C7" s="415">
        <v>0</v>
      </c>
      <c r="D7" s="227">
        <f t="shared" si="0"/>
        <v>0</v>
      </c>
      <c r="E7" s="237"/>
    </row>
    <row r="8" spans="1:17" s="245" customFormat="1" ht="14.15" hidden="1" customHeight="1" x14ac:dyDescent="0.35">
      <c r="A8" s="243"/>
      <c r="B8" s="216" t="s">
        <v>549</v>
      </c>
      <c r="C8" s="415">
        <v>0</v>
      </c>
      <c r="D8" s="227">
        <f t="shared" si="0"/>
        <v>0</v>
      </c>
      <c r="E8" s="237"/>
    </row>
    <row r="9" spans="1:17" s="245" customFormat="1" ht="14.15" hidden="1" customHeight="1" x14ac:dyDescent="0.35">
      <c r="A9" s="243"/>
      <c r="B9" s="216" t="s">
        <v>921</v>
      </c>
      <c r="C9" s="415">
        <v>0</v>
      </c>
      <c r="D9" s="227">
        <f t="shared" si="0"/>
        <v>0</v>
      </c>
      <c r="E9" s="237"/>
    </row>
    <row r="10" spans="1:17" s="245" customFormat="1" ht="14.15" hidden="1" customHeight="1" x14ac:dyDescent="0.35">
      <c r="A10" s="243"/>
      <c r="B10" s="216" t="s">
        <v>922</v>
      </c>
      <c r="C10" s="415">
        <v>0</v>
      </c>
      <c r="D10" s="227">
        <f t="shared" si="0"/>
        <v>0</v>
      </c>
      <c r="E10" s="237"/>
    </row>
    <row r="11" spans="1:17" s="245" customFormat="1" ht="14.15" hidden="1" customHeight="1" x14ac:dyDescent="0.35">
      <c r="A11" s="243"/>
      <c r="B11" s="216" t="s">
        <v>923</v>
      </c>
      <c r="C11" s="415">
        <v>0</v>
      </c>
      <c r="D11" s="227">
        <f t="shared" si="0"/>
        <v>0</v>
      </c>
      <c r="E11" s="237"/>
    </row>
    <row r="12" spans="1:17" s="245" customFormat="1" ht="13.75" hidden="1" customHeight="1" x14ac:dyDescent="0.35">
      <c r="A12" s="243"/>
      <c r="B12" s="216" t="s">
        <v>924</v>
      </c>
      <c r="C12" s="415">
        <v>0</v>
      </c>
      <c r="D12" s="227">
        <f t="shared" si="0"/>
        <v>0</v>
      </c>
      <c r="E12" s="237"/>
    </row>
    <row r="13" spans="1:17" ht="14.15" customHeight="1" x14ac:dyDescent="0.35">
      <c r="B13" s="105" t="s">
        <v>925</v>
      </c>
      <c r="C13" s="415">
        <v>-4129</v>
      </c>
      <c r="D13" s="50">
        <f t="shared" si="0"/>
        <v>-4129</v>
      </c>
    </row>
    <row r="14" spans="1:17" ht="14.15" customHeight="1" thickBot="1" x14ac:dyDescent="0.4">
      <c r="B14" s="93" t="str">
        <f>"Valuation / gross cost at " &amp; TEXT(CurrentYearEnd, "d mmmm yyyy")</f>
        <v>Valuation / gross cost at 31 March 2025</v>
      </c>
      <c r="C14" s="416">
        <f>SUM(C5:C13)</f>
        <v>2800</v>
      </c>
      <c r="D14" s="42">
        <f>SUM(D5:D13)</f>
        <v>2800</v>
      </c>
    </row>
    <row r="15" spans="1:17" ht="14.15" customHeight="1" thickTop="1" x14ac:dyDescent="0.35">
      <c r="B15" s="14"/>
      <c r="C15" s="417"/>
      <c r="D15" s="24"/>
    </row>
    <row r="16" spans="1:17" ht="30.75" customHeight="1" x14ac:dyDescent="0.35">
      <c r="B16" s="14" t="str">
        <f>"Amortisation at " &amp; TEXT(CurrentYearStart,"d mmmm yyyy") &amp; " - brought forward"</f>
        <v>Amortisation at 1 April 2024 - brought forward</v>
      </c>
      <c r="C16" s="414">
        <f>C55</f>
        <v>5479</v>
      </c>
      <c r="D16" s="50">
        <f t="shared" ref="D16:D25" si="1">SUM(C16:C16)</f>
        <v>5479</v>
      </c>
    </row>
    <row r="17" spans="1:8" ht="14.15" hidden="1" customHeight="1" x14ac:dyDescent="0.35">
      <c r="B17" s="14" t="s">
        <v>926</v>
      </c>
      <c r="C17" s="414">
        <v>0</v>
      </c>
      <c r="D17" s="50">
        <f t="shared" si="1"/>
        <v>0</v>
      </c>
    </row>
    <row r="18" spans="1:8" s="245" customFormat="1" ht="14.15" hidden="1" customHeight="1" x14ac:dyDescent="0.35">
      <c r="A18" s="243"/>
      <c r="B18" s="216" t="s">
        <v>927</v>
      </c>
      <c r="C18" s="415">
        <v>0</v>
      </c>
      <c r="D18" s="227">
        <f t="shared" si="1"/>
        <v>0</v>
      </c>
      <c r="E18" s="237"/>
    </row>
    <row r="19" spans="1:8" ht="14.15" customHeight="1" x14ac:dyDescent="0.35">
      <c r="B19" s="105" t="s">
        <v>928</v>
      </c>
      <c r="C19" s="415">
        <v>452</v>
      </c>
      <c r="D19" s="50">
        <f t="shared" si="1"/>
        <v>452</v>
      </c>
    </row>
    <row r="20" spans="1:8" s="245" customFormat="1" ht="14.15" hidden="1" customHeight="1" x14ac:dyDescent="0.35">
      <c r="A20" s="243"/>
      <c r="B20" s="216" t="s">
        <v>549</v>
      </c>
      <c r="C20" s="415">
        <v>0</v>
      </c>
      <c r="D20" s="227">
        <f t="shared" si="1"/>
        <v>0</v>
      </c>
      <c r="E20" s="237"/>
    </row>
    <row r="21" spans="1:8" s="245" customFormat="1" ht="14.15" hidden="1" customHeight="1" x14ac:dyDescent="0.35">
      <c r="A21" s="243"/>
      <c r="B21" s="216" t="s">
        <v>921</v>
      </c>
      <c r="C21" s="415">
        <v>0</v>
      </c>
      <c r="D21" s="227">
        <f t="shared" si="1"/>
        <v>0</v>
      </c>
      <c r="E21" s="237"/>
    </row>
    <row r="22" spans="1:8" s="245" customFormat="1" ht="14.15" hidden="1" customHeight="1" x14ac:dyDescent="0.35">
      <c r="A22" s="243"/>
      <c r="B22" s="216" t="s">
        <v>922</v>
      </c>
      <c r="C22" s="415">
        <v>0</v>
      </c>
      <c r="D22" s="227">
        <f t="shared" si="1"/>
        <v>0</v>
      </c>
      <c r="E22" s="237"/>
    </row>
    <row r="23" spans="1:8" s="245" customFormat="1" ht="14.15" hidden="1" customHeight="1" x14ac:dyDescent="0.35">
      <c r="B23" s="216" t="s">
        <v>923</v>
      </c>
      <c r="C23" s="415">
        <v>0</v>
      </c>
      <c r="D23" s="227">
        <f t="shared" si="1"/>
        <v>0</v>
      </c>
      <c r="E23" s="237"/>
    </row>
    <row r="24" spans="1:8" s="245" customFormat="1" ht="14.5" hidden="1" x14ac:dyDescent="0.35">
      <c r="A24" s="243"/>
      <c r="B24" s="216" t="s">
        <v>924</v>
      </c>
      <c r="C24" s="415">
        <v>0</v>
      </c>
      <c r="D24" s="227">
        <f t="shared" si="1"/>
        <v>0</v>
      </c>
      <c r="E24" s="237"/>
    </row>
    <row r="25" spans="1:8" ht="14.15" customHeight="1" x14ac:dyDescent="0.35">
      <c r="B25" s="105" t="s">
        <v>925</v>
      </c>
      <c r="C25" s="415">
        <v>-4129</v>
      </c>
      <c r="D25" s="50">
        <f t="shared" si="1"/>
        <v>-4129</v>
      </c>
    </row>
    <row r="26" spans="1:8" ht="14.15" customHeight="1" thickBot="1" x14ac:dyDescent="0.4">
      <c r="B26" s="93" t="str">
        <f>"Amortisation at " &amp; TEXT(CurrentYearEnd, "d mmmm yyyy")</f>
        <v>Amortisation at 31 March 2025</v>
      </c>
      <c r="C26" s="416">
        <f t="shared" ref="C26:D26" si="2">SUM(C16:C25)</f>
        <v>1802</v>
      </c>
      <c r="D26" s="42">
        <f t="shared" si="2"/>
        <v>1802</v>
      </c>
    </row>
    <row r="27" spans="1:8" ht="14.15" customHeight="1" thickTop="1" x14ac:dyDescent="0.35">
      <c r="B27" s="14"/>
      <c r="C27" s="417"/>
      <c r="D27" s="23"/>
    </row>
    <row r="28" spans="1:8" ht="14.15" customHeight="1" x14ac:dyDescent="0.35">
      <c r="B28" s="14" t="str">
        <f>"Net book value at "&amp; TEXT(CurrentYearEnd, "d mmmm yyyy")</f>
        <v>Net book value at 31 March 2025</v>
      </c>
      <c r="C28" s="50">
        <f t="shared" ref="C28" si="3">C14-C26</f>
        <v>998</v>
      </c>
      <c r="D28" s="50">
        <f>SUM(C28:C28)</f>
        <v>998</v>
      </c>
    </row>
    <row r="29" spans="1:8" ht="14.15" customHeight="1" x14ac:dyDescent="0.35">
      <c r="B29" s="14" t="str">
        <f>"Net book value at "&amp; TEXT(CurrentYearStart,"d mmmm yyyy")</f>
        <v>Net book value at 1 April 2024</v>
      </c>
      <c r="C29" s="50">
        <f>C5-C16</f>
        <v>1450</v>
      </c>
      <c r="D29" s="50">
        <f>SUM(C29:C29)</f>
        <v>1450</v>
      </c>
    </row>
    <row r="31" spans="1:8" ht="14.15" customHeight="1" x14ac:dyDescent="0.35">
      <c r="A31" s="31">
        <f>A1+0.1</f>
        <v>0.1</v>
      </c>
      <c r="B31" s="14" t="str">
        <f>"Note "&amp; E2 &amp; " Intangible assets - " &amp; ComparativeFY</f>
        <v>Note 13.2 Intangible assets - 2023/24</v>
      </c>
      <c r="F31" s="13"/>
      <c r="G31" s="13"/>
      <c r="H31" s="13"/>
    </row>
    <row r="32" spans="1:8" ht="27" customHeight="1" x14ac:dyDescent="0.35">
      <c r="B32" s="96"/>
      <c r="C32" s="226" t="s">
        <v>916</v>
      </c>
      <c r="D32" s="226" t="s">
        <v>917</v>
      </c>
      <c r="F32" s="137"/>
      <c r="H32" s="13"/>
    </row>
    <row r="33" spans="1:9" ht="14.15" customHeight="1" x14ac:dyDescent="0.35">
      <c r="B33" s="14"/>
      <c r="C33" s="80" t="s">
        <v>542</v>
      </c>
      <c r="D33" s="80" t="s">
        <v>542</v>
      </c>
      <c r="F33" s="17"/>
      <c r="G33" s="17"/>
    </row>
    <row r="34" spans="1:9" ht="24.75" customHeight="1" x14ac:dyDescent="0.35">
      <c r="B34" s="14" t="s">
        <v>1655</v>
      </c>
      <c r="C34" s="50">
        <v>6962</v>
      </c>
      <c r="D34" s="50">
        <f t="shared" ref="D34:D42" si="4">SUM(C34:C34)</f>
        <v>6962</v>
      </c>
      <c r="F34" s="17"/>
      <c r="G34" s="17"/>
    </row>
    <row r="35" spans="1:9" s="245" customFormat="1" ht="14.15" hidden="1" customHeight="1" x14ac:dyDescent="0.35">
      <c r="A35" s="243"/>
      <c r="B35" s="216" t="s">
        <v>927</v>
      </c>
      <c r="C35" s="218">
        <v>0</v>
      </c>
      <c r="D35" s="227">
        <f t="shared" si="4"/>
        <v>0</v>
      </c>
      <c r="E35" s="237"/>
      <c r="F35" s="300"/>
      <c r="G35" s="300"/>
    </row>
    <row r="36" spans="1:9" ht="14.15" customHeight="1" x14ac:dyDescent="0.35">
      <c r="B36" s="105" t="s">
        <v>920</v>
      </c>
      <c r="C36" s="41">
        <v>-33</v>
      </c>
      <c r="D36" s="50">
        <f t="shared" si="4"/>
        <v>-33</v>
      </c>
      <c r="F36" s="17"/>
      <c r="G36" s="17"/>
      <c r="I36" s="13"/>
    </row>
    <row r="37" spans="1:9" ht="14.15" hidden="1" customHeight="1" x14ac:dyDescent="0.35">
      <c r="B37" s="105" t="s">
        <v>549</v>
      </c>
      <c r="C37" s="41">
        <v>0</v>
      </c>
      <c r="D37" s="50">
        <f t="shared" si="4"/>
        <v>0</v>
      </c>
      <c r="F37" s="17"/>
      <c r="G37" s="17"/>
      <c r="I37" s="13"/>
    </row>
    <row r="38" spans="1:9" s="245" customFormat="1" ht="14.15" hidden="1" customHeight="1" x14ac:dyDescent="0.35">
      <c r="A38" s="243"/>
      <c r="B38" s="216" t="s">
        <v>921</v>
      </c>
      <c r="C38" s="218">
        <v>0</v>
      </c>
      <c r="D38" s="227">
        <f t="shared" si="4"/>
        <v>0</v>
      </c>
      <c r="E38" s="237"/>
      <c r="F38" s="300"/>
      <c r="G38" s="300"/>
    </row>
    <row r="39" spans="1:9" s="245" customFormat="1" ht="14.15" hidden="1" customHeight="1" x14ac:dyDescent="0.35">
      <c r="A39" s="243"/>
      <c r="B39" s="216" t="s">
        <v>922</v>
      </c>
      <c r="C39" s="218">
        <v>0</v>
      </c>
      <c r="D39" s="227">
        <f t="shared" si="4"/>
        <v>0</v>
      </c>
      <c r="E39" s="237"/>
      <c r="F39" s="300"/>
      <c r="G39" s="300"/>
    </row>
    <row r="40" spans="1:9" s="245" customFormat="1" ht="14.15" hidden="1" customHeight="1" x14ac:dyDescent="0.35">
      <c r="A40" s="243"/>
      <c r="B40" s="216" t="s">
        <v>923</v>
      </c>
      <c r="C40" s="218">
        <v>0</v>
      </c>
      <c r="D40" s="227">
        <f t="shared" si="4"/>
        <v>0</v>
      </c>
      <c r="E40" s="237"/>
      <c r="F40" s="300"/>
      <c r="G40" s="300"/>
    </row>
    <row r="41" spans="1:9" s="245" customFormat="1" ht="14.15" hidden="1" customHeight="1" x14ac:dyDescent="0.35">
      <c r="A41" s="243"/>
      <c r="B41" s="216" t="s">
        <v>924</v>
      </c>
      <c r="C41" s="218">
        <v>0</v>
      </c>
      <c r="D41" s="227">
        <f t="shared" si="4"/>
        <v>0</v>
      </c>
      <c r="E41" s="237"/>
      <c r="F41" s="300"/>
      <c r="G41" s="300"/>
    </row>
    <row r="42" spans="1:9" s="245" customFormat="1" ht="14.15" hidden="1" customHeight="1" x14ac:dyDescent="0.35">
      <c r="B42" s="216" t="s">
        <v>925</v>
      </c>
      <c r="C42" s="218">
        <v>0</v>
      </c>
      <c r="D42" s="227">
        <f t="shared" si="4"/>
        <v>0</v>
      </c>
      <c r="E42" s="237"/>
      <c r="F42" s="300"/>
      <c r="G42" s="300"/>
    </row>
    <row r="43" spans="1:9" ht="14.15" customHeight="1" thickBot="1" x14ac:dyDescent="0.4">
      <c r="B43" s="93" t="str">
        <f>"Valuation / gross cost at " &amp; TEXT(ComparativeYearEnd, "d mmmm yyyy")</f>
        <v>Valuation / gross cost at 31 March 2024</v>
      </c>
      <c r="C43" s="42">
        <f>SUM(C34:C42)</f>
        <v>6929</v>
      </c>
      <c r="D43" s="42">
        <f>SUM(D34:D42)</f>
        <v>6929</v>
      </c>
      <c r="F43" s="17"/>
      <c r="G43" s="17"/>
    </row>
    <row r="44" spans="1:9" ht="13.75" customHeight="1" thickTop="1" x14ac:dyDescent="0.35">
      <c r="C44" s="22"/>
      <c r="D44" s="22"/>
      <c r="F44" s="17"/>
      <c r="G44" s="17"/>
    </row>
    <row r="45" spans="1:9" ht="14.15" customHeight="1" x14ac:dyDescent="0.35">
      <c r="B45" s="14" t="str">
        <f>"Amortisation at " &amp; TEXT(ComparativeYearStart, "d mmmm yyyy") &amp; " - as previously stated"</f>
        <v>Amortisation at 1 April 2023 - as previously stated</v>
      </c>
      <c r="C45" s="50">
        <v>4744</v>
      </c>
      <c r="D45" s="50">
        <f t="shared" ref="D45:D54" si="5">SUM(C45:C45)</f>
        <v>4744</v>
      </c>
      <c r="F45" s="17"/>
      <c r="G45" s="17"/>
    </row>
    <row r="46" spans="1:9" s="245" customFormat="1" ht="14.15" hidden="1" customHeight="1" x14ac:dyDescent="0.35">
      <c r="A46" s="243"/>
      <c r="B46" s="216" t="s">
        <v>500</v>
      </c>
      <c r="C46" s="218">
        <v>0</v>
      </c>
      <c r="D46" s="227">
        <f t="shared" si="5"/>
        <v>0</v>
      </c>
      <c r="E46" s="237"/>
      <c r="F46" s="300"/>
    </row>
    <row r="47" spans="1:9" s="245" customFormat="1" ht="12.25" hidden="1" customHeight="1" x14ac:dyDescent="0.35">
      <c r="A47" s="243"/>
      <c r="B47" s="216" t="s">
        <v>927</v>
      </c>
      <c r="C47" s="218">
        <v>0</v>
      </c>
      <c r="D47" s="227">
        <f t="shared" si="5"/>
        <v>0</v>
      </c>
      <c r="E47" s="237"/>
      <c r="F47" s="300"/>
      <c r="G47" s="300"/>
    </row>
    <row r="48" spans="1:9" ht="14.15" customHeight="1" x14ac:dyDescent="0.35">
      <c r="B48" s="105" t="s">
        <v>928</v>
      </c>
      <c r="C48" s="41">
        <v>735</v>
      </c>
      <c r="D48" s="50">
        <f t="shared" si="5"/>
        <v>735</v>
      </c>
      <c r="F48" s="17"/>
      <c r="G48" s="17"/>
    </row>
    <row r="49" spans="1:9" ht="14.15" hidden="1" customHeight="1" x14ac:dyDescent="0.35">
      <c r="B49" s="216" t="s">
        <v>549</v>
      </c>
      <c r="C49" s="218">
        <v>0</v>
      </c>
      <c r="D49" s="227">
        <f t="shared" si="5"/>
        <v>0</v>
      </c>
      <c r="F49" s="17"/>
      <c r="G49" s="17"/>
    </row>
    <row r="50" spans="1:9" ht="14.15" hidden="1" customHeight="1" x14ac:dyDescent="0.35">
      <c r="B50" s="216" t="s">
        <v>921</v>
      </c>
      <c r="C50" s="218">
        <v>0</v>
      </c>
      <c r="D50" s="227">
        <f t="shared" si="5"/>
        <v>0</v>
      </c>
      <c r="F50" s="17"/>
      <c r="G50" s="17"/>
    </row>
    <row r="51" spans="1:9" ht="14.15" hidden="1" customHeight="1" x14ac:dyDescent="0.35">
      <c r="B51" s="216" t="s">
        <v>922</v>
      </c>
      <c r="C51" s="218">
        <v>0</v>
      </c>
      <c r="D51" s="227">
        <f t="shared" si="5"/>
        <v>0</v>
      </c>
      <c r="F51" s="17"/>
      <c r="G51" s="17"/>
    </row>
    <row r="52" spans="1:9" ht="14.15" hidden="1" customHeight="1" x14ac:dyDescent="0.35">
      <c r="B52" s="216" t="s">
        <v>923</v>
      </c>
      <c r="C52" s="218">
        <v>0</v>
      </c>
      <c r="D52" s="227">
        <f t="shared" si="5"/>
        <v>0</v>
      </c>
      <c r="F52" s="17"/>
      <c r="G52" s="17"/>
    </row>
    <row r="53" spans="1:9" ht="14.15" hidden="1" customHeight="1" x14ac:dyDescent="0.35">
      <c r="B53" s="216" t="s">
        <v>924</v>
      </c>
      <c r="C53" s="218">
        <v>0</v>
      </c>
      <c r="D53" s="227">
        <f t="shared" si="5"/>
        <v>0</v>
      </c>
    </row>
    <row r="54" spans="1:9" s="245" customFormat="1" ht="14.15" hidden="1" customHeight="1" x14ac:dyDescent="0.35">
      <c r="A54" s="243"/>
      <c r="B54" s="216" t="s">
        <v>925</v>
      </c>
      <c r="C54" s="218">
        <v>0</v>
      </c>
      <c r="D54" s="227">
        <f t="shared" si="5"/>
        <v>0</v>
      </c>
      <c r="E54" s="237"/>
    </row>
    <row r="55" spans="1:9" ht="14.15" customHeight="1" thickBot="1" x14ac:dyDescent="0.4">
      <c r="B55" s="93" t="str">
        <f>"Amortisation at " &amp;TEXT(ComparativeYearEnd, "d mmmm yyyy")</f>
        <v>Amortisation at 31 March 2024</v>
      </c>
      <c r="C55" s="42">
        <f>SUM(C45:C54)</f>
        <v>5479</v>
      </c>
      <c r="D55" s="42">
        <f>SUM(D45:D54)</f>
        <v>5479</v>
      </c>
      <c r="F55" s="13"/>
      <c r="G55" s="13"/>
      <c r="H55" s="13"/>
    </row>
    <row r="56" spans="1:9" ht="14.15" customHeight="1" thickTop="1" x14ac:dyDescent="0.35">
      <c r="C56" s="22"/>
      <c r="D56" s="22"/>
      <c r="F56" s="13"/>
      <c r="G56" s="13"/>
      <c r="H56" s="13"/>
    </row>
    <row r="57" spans="1:9" ht="14.15" customHeight="1" x14ac:dyDescent="0.35">
      <c r="B57" s="14" t="str">
        <f>"Net book value at "&amp;TEXT(ComparativeYearEnd, "d mmmm yyyy")</f>
        <v>Net book value at 31 March 2024</v>
      </c>
      <c r="C57" s="50">
        <f>C43-C55</f>
        <v>1450</v>
      </c>
      <c r="D57" s="50">
        <f>SUM(C57:C57)</f>
        <v>1450</v>
      </c>
      <c r="F57" s="13"/>
      <c r="G57" s="13"/>
      <c r="H57" s="13"/>
    </row>
    <row r="58" spans="1:9" ht="13.75" customHeight="1" x14ac:dyDescent="0.35">
      <c r="B58" s="14" t="str">
        <f>"Net book value at "&amp; TEXT(ComparativeYearStart, "d mmmm yyyy")</f>
        <v>Net book value at 1 April 2023</v>
      </c>
      <c r="C58" s="50">
        <v>2218</v>
      </c>
      <c r="D58" s="50">
        <f>SUM(C58:C58)</f>
        <v>2218</v>
      </c>
      <c r="F58" s="13"/>
      <c r="G58" s="13"/>
      <c r="H58" s="13"/>
    </row>
    <row r="59" spans="1:9" ht="14.15" customHeight="1" x14ac:dyDescent="0.35">
      <c r="F59" s="13"/>
      <c r="G59" s="13"/>
      <c r="H59" s="13"/>
    </row>
    <row r="60" spans="1:9" ht="14.15" customHeight="1" x14ac:dyDescent="0.35">
      <c r="I60" s="13"/>
    </row>
    <row r="61" spans="1:9" ht="9.75" customHeight="1" x14ac:dyDescent="0.35">
      <c r="I61" s="13"/>
    </row>
    <row r="62" spans="1:9" ht="14.15" customHeight="1" x14ac:dyDescent="0.35">
      <c r="I62" s="13"/>
    </row>
    <row r="63" spans="1:9" ht="14.15" customHeight="1" x14ac:dyDescent="0.35">
      <c r="I63" s="13"/>
    </row>
    <row r="64" spans="1:9" ht="14.15" customHeight="1" x14ac:dyDescent="0.35">
      <c r="C64" s="137"/>
      <c r="D64" s="137"/>
      <c r="I64" s="13"/>
    </row>
    <row r="65" spans="2:4" ht="14.15" customHeight="1" x14ac:dyDescent="0.35">
      <c r="C65" s="45"/>
      <c r="D65" s="45"/>
    </row>
    <row r="66" spans="2:4" ht="14.15" customHeight="1" x14ac:dyDescent="0.35">
      <c r="B66" s="45"/>
      <c r="C66" s="45"/>
      <c r="D66" s="45"/>
    </row>
  </sheetData>
  <pageMargins left="0.59055118110236227" right="0.59055118110236227" top="0.59055118110236227" bottom="0.59055118110236227" header="0" footer="0"/>
  <pageSetup paperSize="9" orientation="portrait" r:id="rId1"/>
  <headerFooter>
    <oddFooter>Page &amp;P</oddFooter>
  </headerFooter>
  <rowBreaks count="1" manualBreakCount="1">
    <brk id="30" max="16383" man="1"/>
  </rowBreaks>
  <colBreaks count="1" manualBreakCount="1">
    <brk id="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0">
    <tabColor rgb="FF92D050"/>
    <pageSetUpPr fitToPage="1"/>
  </sheetPr>
  <dimension ref="A1:N69"/>
  <sheetViews>
    <sheetView workbookViewId="0"/>
  </sheetViews>
  <sheetFormatPr defaultColWidth="9.1796875" defaultRowHeight="14.15" customHeight="1" x14ac:dyDescent="0.35"/>
  <cols>
    <col min="1" max="1" width="1.26953125" style="31" customWidth="1"/>
    <col min="2" max="2" width="32.453125" style="1" customWidth="1"/>
    <col min="3" max="3" width="8.81640625" style="1" customWidth="1"/>
    <col min="4" max="4" width="9.7265625" style="1" customWidth="1"/>
    <col min="5" max="5" width="11.26953125" style="1" customWidth="1"/>
    <col min="6" max="6" width="10.1796875" style="1" customWidth="1"/>
    <col min="7" max="7" width="9.7265625" style="1" customWidth="1"/>
    <col min="8" max="8" width="11" style="1" customWidth="1"/>
    <col min="9" max="9" width="9.7265625" style="1" customWidth="1"/>
    <col min="10" max="10" width="10.26953125" style="1" customWidth="1"/>
    <col min="11" max="11" width="9" customWidth="1"/>
    <col min="12" max="16384" width="9.1796875" style="1"/>
  </cols>
  <sheetData>
    <row r="1" spans="1:14" ht="14.15" customHeight="1" x14ac:dyDescent="0.35">
      <c r="A1" s="31">
        <f>ROUNDDOWN('13 Ints'!A2,0)+1.1</f>
        <v>14.1</v>
      </c>
      <c r="B1" s="93" t="str">
        <f>"Note "&amp;A1&amp; " Property, plant and equipment - " &amp; CurrentFY</f>
        <v>Note 14.1 Property, plant and equipment - 2024/25</v>
      </c>
      <c r="D1" s="17"/>
      <c r="N1" s="100"/>
    </row>
    <row r="2" spans="1:14" ht="4.5" customHeight="1" x14ac:dyDescent="0.35">
      <c r="B2" s="93"/>
      <c r="D2" s="17"/>
      <c r="N2" s="100"/>
    </row>
    <row r="3" spans="1:14" ht="39.75" customHeight="1" x14ac:dyDescent="0.35">
      <c r="B3" s="14"/>
      <c r="C3" s="226" t="s">
        <v>663</v>
      </c>
      <c r="D3" s="226" t="s">
        <v>929</v>
      </c>
      <c r="E3" s="226" t="s">
        <v>930</v>
      </c>
      <c r="F3" s="226" t="s">
        <v>666</v>
      </c>
      <c r="G3" s="226" t="s">
        <v>667</v>
      </c>
      <c r="H3" s="226" t="s">
        <v>668</v>
      </c>
      <c r="I3" s="226" t="s">
        <v>669</v>
      </c>
      <c r="J3" s="226" t="s">
        <v>917</v>
      </c>
    </row>
    <row r="4" spans="1:14" ht="14.15" customHeight="1" x14ac:dyDescent="0.35">
      <c r="B4" s="14"/>
      <c r="C4" s="80" t="s">
        <v>542</v>
      </c>
      <c r="D4" s="80" t="s">
        <v>542</v>
      </c>
      <c r="E4" s="80" t="s">
        <v>462</v>
      </c>
      <c r="F4" s="80" t="s">
        <v>462</v>
      </c>
      <c r="G4" s="80" t="s">
        <v>462</v>
      </c>
      <c r="H4" s="80" t="s">
        <v>462</v>
      </c>
      <c r="I4" s="80" t="s">
        <v>462</v>
      </c>
      <c r="J4" s="80" t="s">
        <v>542</v>
      </c>
    </row>
    <row r="5" spans="1:14" ht="26.5" customHeight="1" x14ac:dyDescent="0.35">
      <c r="B5" s="14" t="str">
        <f>"Valuation/gross cost at " &amp; TEXT(CurrentYearStart,"d mmmm yyyy") &amp; " - brought forward"</f>
        <v>Valuation/gross cost at 1 April 2024 - brought forward</v>
      </c>
      <c r="C5" s="50">
        <f>C48</f>
        <v>13800</v>
      </c>
      <c r="D5" s="50">
        <f t="shared" ref="D5:I5" si="0">D48</f>
        <v>27595.448</v>
      </c>
      <c r="E5" s="50">
        <f t="shared" si="0"/>
        <v>15260</v>
      </c>
      <c r="F5" s="50">
        <f t="shared" si="0"/>
        <v>21750</v>
      </c>
      <c r="G5" s="50">
        <f t="shared" si="0"/>
        <v>70947</v>
      </c>
      <c r="H5" s="50">
        <f t="shared" si="0"/>
        <v>30602</v>
      </c>
      <c r="I5" s="50">
        <f t="shared" si="0"/>
        <v>5228</v>
      </c>
      <c r="J5" s="50">
        <f t="shared" ref="J5:J14" si="1">SUM(C5:I5)</f>
        <v>185182.448</v>
      </c>
    </row>
    <row r="6" spans="1:14" ht="13.75" hidden="1" customHeight="1" x14ac:dyDescent="0.35">
      <c r="B6" s="14" t="s">
        <v>931</v>
      </c>
      <c r="C6" s="50">
        <v>0</v>
      </c>
      <c r="D6" s="50">
        <v>0</v>
      </c>
      <c r="E6" s="50">
        <v>0</v>
      </c>
      <c r="F6" s="50">
        <v>0</v>
      </c>
      <c r="G6" s="50">
        <v>0</v>
      </c>
      <c r="H6" s="50">
        <v>0</v>
      </c>
      <c r="I6" s="50">
        <v>0</v>
      </c>
      <c r="J6" s="50">
        <f t="shared" si="1"/>
        <v>0</v>
      </c>
      <c r="L6" s="17"/>
      <c r="M6" s="166" t="s">
        <v>544</v>
      </c>
    </row>
    <row r="7" spans="1:14" s="245" customFormat="1" ht="14.15" hidden="1" customHeight="1" x14ac:dyDescent="0.35">
      <c r="A7" s="243"/>
      <c r="B7" s="216" t="s">
        <v>927</v>
      </c>
      <c r="C7" s="218">
        <v>0</v>
      </c>
      <c r="D7" s="218">
        <v>0</v>
      </c>
      <c r="E7" s="218">
        <v>0</v>
      </c>
      <c r="F7" s="218">
        <v>0</v>
      </c>
      <c r="G7" s="218">
        <v>0</v>
      </c>
      <c r="H7" s="218">
        <v>0</v>
      </c>
      <c r="I7" s="218">
        <v>0</v>
      </c>
      <c r="J7" s="227">
        <f t="shared" si="1"/>
        <v>0</v>
      </c>
      <c r="K7" s="237"/>
      <c r="L7" s="300"/>
      <c r="M7" s="300"/>
    </row>
    <row r="8" spans="1:14" ht="14.15" customHeight="1" x14ac:dyDescent="0.35">
      <c r="B8" s="105" t="s">
        <v>920</v>
      </c>
      <c r="C8" s="41">
        <v>0</v>
      </c>
      <c r="D8" s="41">
        <v>3649</v>
      </c>
      <c r="E8" s="41">
        <v>19759</v>
      </c>
      <c r="F8" s="41">
        <v>273</v>
      </c>
      <c r="G8" s="41">
        <v>64</v>
      </c>
      <c r="H8" s="41">
        <v>187</v>
      </c>
      <c r="I8" s="41">
        <v>345</v>
      </c>
      <c r="J8" s="50">
        <f t="shared" si="1"/>
        <v>24277</v>
      </c>
      <c r="L8" s="17"/>
      <c r="M8" s="17"/>
    </row>
    <row r="9" spans="1:14" ht="14.15" customHeight="1" x14ac:dyDescent="0.35">
      <c r="B9" s="105" t="s">
        <v>549</v>
      </c>
      <c r="C9" s="41">
        <v>-10</v>
      </c>
      <c r="D9" s="41">
        <v>-208</v>
      </c>
      <c r="E9" s="41">
        <v>0</v>
      </c>
      <c r="F9" s="41">
        <v>0</v>
      </c>
      <c r="G9" s="41">
        <v>0</v>
      </c>
      <c r="H9" s="41">
        <v>0</v>
      </c>
      <c r="I9" s="41">
        <v>0</v>
      </c>
      <c r="J9" s="50">
        <f t="shared" si="1"/>
        <v>-218</v>
      </c>
      <c r="L9" s="17"/>
      <c r="M9" s="17"/>
    </row>
    <row r="10" spans="1:14" ht="14.15" customHeight="1" x14ac:dyDescent="0.35">
      <c r="B10" s="105" t="s">
        <v>921</v>
      </c>
      <c r="C10" s="41">
        <v>0</v>
      </c>
      <c r="D10" s="41">
        <v>647</v>
      </c>
      <c r="E10" s="41">
        <v>0</v>
      </c>
      <c r="F10" s="41">
        <v>0</v>
      </c>
      <c r="G10" s="41">
        <v>0</v>
      </c>
      <c r="H10" s="41">
        <v>0</v>
      </c>
      <c r="I10" s="41">
        <v>0</v>
      </c>
      <c r="J10" s="50">
        <f t="shared" si="1"/>
        <v>647</v>
      </c>
      <c r="L10" s="17"/>
      <c r="M10" s="17"/>
    </row>
    <row r="11" spans="1:14" ht="14.15" customHeight="1" x14ac:dyDescent="0.35">
      <c r="B11" s="105" t="s">
        <v>922</v>
      </c>
      <c r="C11" s="41">
        <v>19</v>
      </c>
      <c r="D11" s="41">
        <v>-1745</v>
      </c>
      <c r="E11" s="41">
        <v>28</v>
      </c>
      <c r="F11" s="41">
        <v>0</v>
      </c>
      <c r="G11" s="41">
        <v>0</v>
      </c>
      <c r="H11" s="41">
        <v>0</v>
      </c>
      <c r="I11" s="41">
        <v>0</v>
      </c>
      <c r="J11" s="50">
        <f t="shared" si="1"/>
        <v>-1698</v>
      </c>
      <c r="L11" s="17"/>
      <c r="M11" s="17"/>
    </row>
    <row r="12" spans="1:14" ht="14.15" customHeight="1" x14ac:dyDescent="0.35">
      <c r="B12" s="105" t="s">
        <v>923</v>
      </c>
      <c r="C12" s="41">
        <v>0</v>
      </c>
      <c r="D12" s="41">
        <v>0</v>
      </c>
      <c r="E12" s="41">
        <v>-12549</v>
      </c>
      <c r="F12" s="41">
        <v>2415</v>
      </c>
      <c r="G12" s="41">
        <v>9884</v>
      </c>
      <c r="H12" s="41">
        <v>250</v>
      </c>
      <c r="I12" s="41">
        <v>0</v>
      </c>
      <c r="J12" s="50">
        <f t="shared" si="1"/>
        <v>0</v>
      </c>
      <c r="L12" s="17"/>
      <c r="M12" s="17"/>
    </row>
    <row r="13" spans="1:14" ht="13.75" customHeight="1" x14ac:dyDescent="0.35">
      <c r="B13" s="105" t="s">
        <v>924</v>
      </c>
      <c r="C13" s="41">
        <v>-245</v>
      </c>
      <c r="D13" s="41">
        <v>-95</v>
      </c>
      <c r="E13" s="41">
        <v>0</v>
      </c>
      <c r="F13" s="41">
        <v>0</v>
      </c>
      <c r="G13" s="41">
        <v>-6078</v>
      </c>
      <c r="H13" s="41">
        <v>0</v>
      </c>
      <c r="I13" s="41">
        <v>0</v>
      </c>
      <c r="J13" s="50">
        <f t="shared" si="1"/>
        <v>-6418</v>
      </c>
      <c r="L13" s="17"/>
      <c r="M13" s="17"/>
    </row>
    <row r="14" spans="1:14" ht="14.15" customHeight="1" x14ac:dyDescent="0.35">
      <c r="B14" s="105" t="s">
        <v>1776</v>
      </c>
      <c r="C14" s="41">
        <v>0</v>
      </c>
      <c r="D14" s="41">
        <v>0</v>
      </c>
      <c r="E14" s="41">
        <v>0</v>
      </c>
      <c r="F14" s="41">
        <v>-1160</v>
      </c>
      <c r="G14" s="41">
        <v>-359</v>
      </c>
      <c r="H14" s="41">
        <v>-8933</v>
      </c>
      <c r="I14" s="41">
        <v>-18</v>
      </c>
      <c r="J14" s="50">
        <f t="shared" si="1"/>
        <v>-10470</v>
      </c>
      <c r="L14" s="17"/>
      <c r="M14" s="17"/>
    </row>
    <row r="15" spans="1:14" ht="14.15" customHeight="1" thickBot="1" x14ac:dyDescent="0.4">
      <c r="B15" s="93" t="str">
        <f>"Valuation/gross cost at " &amp; TEXT(CurrentYearEnd, "d mmmm yyyy")</f>
        <v>Valuation/gross cost at 31 March 2025</v>
      </c>
      <c r="C15" s="42">
        <f t="shared" ref="C15:J15" si="2">SUM(C5:C14)</f>
        <v>13564</v>
      </c>
      <c r="D15" s="42">
        <f t="shared" si="2"/>
        <v>29843.448</v>
      </c>
      <c r="E15" s="42">
        <f t="shared" si="2"/>
        <v>22498</v>
      </c>
      <c r="F15" s="42">
        <f t="shared" si="2"/>
        <v>23278</v>
      </c>
      <c r="G15" s="42">
        <f t="shared" si="2"/>
        <v>74458</v>
      </c>
      <c r="H15" s="42">
        <f t="shared" si="2"/>
        <v>22106</v>
      </c>
      <c r="I15" s="42">
        <f t="shared" si="2"/>
        <v>5555</v>
      </c>
      <c r="J15" s="42">
        <f t="shared" si="2"/>
        <v>191302.448</v>
      </c>
    </row>
    <row r="16" spans="1:14" ht="12.25" customHeight="1" thickTop="1" x14ac:dyDescent="0.35">
      <c r="B16" s="14"/>
      <c r="C16" s="21"/>
      <c r="D16" s="21"/>
      <c r="E16" s="21"/>
      <c r="F16" s="21"/>
      <c r="G16" s="21"/>
      <c r="H16" s="21"/>
      <c r="I16" s="21"/>
      <c r="J16" s="21"/>
      <c r="L16" s="17"/>
      <c r="M16" s="17"/>
    </row>
    <row r="17" spans="1:13" ht="28.15" customHeight="1" x14ac:dyDescent="0.35">
      <c r="B17" s="14" t="str">
        <f>"Accumulated depreciation at " &amp; TEXT(CurrentYearStart,"d mmmm yyyy")&amp; " - brought forward"</f>
        <v>Accumulated depreciation at 1 April 2024 - brought forward</v>
      </c>
      <c r="C17" s="414">
        <f>C62</f>
        <v>0</v>
      </c>
      <c r="D17" s="50">
        <f t="shared" ref="D17:I17" si="3">D62</f>
        <v>256.4409999999998</v>
      </c>
      <c r="E17" s="50">
        <f t="shared" si="3"/>
        <v>0</v>
      </c>
      <c r="F17" s="50">
        <f t="shared" si="3"/>
        <v>12524</v>
      </c>
      <c r="G17" s="50">
        <f t="shared" si="3"/>
        <v>39567</v>
      </c>
      <c r="H17" s="50">
        <f t="shared" si="3"/>
        <v>19972</v>
      </c>
      <c r="I17" s="50">
        <f t="shared" si="3"/>
        <v>3327</v>
      </c>
      <c r="J17" s="50">
        <f t="shared" ref="J17:J26" si="4">SUM(C17:I17)</f>
        <v>75646.440999999992</v>
      </c>
      <c r="L17" s="137"/>
      <c r="M17" s="137"/>
    </row>
    <row r="18" spans="1:13" ht="14.15" hidden="1" customHeight="1" x14ac:dyDescent="0.35">
      <c r="B18" s="14" t="s">
        <v>932</v>
      </c>
      <c r="C18" s="414">
        <v>0</v>
      </c>
      <c r="D18" s="50">
        <v>0</v>
      </c>
      <c r="E18" s="50">
        <v>0</v>
      </c>
      <c r="F18" s="50">
        <v>0</v>
      </c>
      <c r="G18" s="50">
        <v>0</v>
      </c>
      <c r="H18" s="50">
        <v>0</v>
      </c>
      <c r="I18" s="50">
        <v>0</v>
      </c>
      <c r="J18" s="50">
        <f t="shared" si="4"/>
        <v>0</v>
      </c>
      <c r="M18" s="166" t="s">
        <v>544</v>
      </c>
    </row>
    <row r="19" spans="1:13" s="245" customFormat="1" ht="14.15" hidden="1" customHeight="1" x14ac:dyDescent="0.35">
      <c r="A19" s="243"/>
      <c r="B19" s="216" t="s">
        <v>927</v>
      </c>
      <c r="C19" s="418">
        <v>0</v>
      </c>
      <c r="D19" s="228">
        <v>0</v>
      </c>
      <c r="E19" s="228">
        <v>0</v>
      </c>
      <c r="F19" s="228">
        <v>0</v>
      </c>
      <c r="G19" s="228">
        <v>0</v>
      </c>
      <c r="H19" s="228">
        <v>0</v>
      </c>
      <c r="I19" s="228">
        <v>0</v>
      </c>
      <c r="J19" s="227">
        <f t="shared" si="4"/>
        <v>0</v>
      </c>
      <c r="K19" s="237"/>
    </row>
    <row r="20" spans="1:13" ht="14.15" customHeight="1" x14ac:dyDescent="0.35">
      <c r="B20" s="105" t="s">
        <v>928</v>
      </c>
      <c r="C20" s="418">
        <v>0</v>
      </c>
      <c r="D20" s="179">
        <v>2615</v>
      </c>
      <c r="E20" s="179">
        <v>0</v>
      </c>
      <c r="F20" s="179">
        <v>1817</v>
      </c>
      <c r="G20" s="179">
        <v>8838</v>
      </c>
      <c r="H20" s="179">
        <v>3988</v>
      </c>
      <c r="I20" s="179">
        <v>485</v>
      </c>
      <c r="J20" s="50">
        <f t="shared" si="4"/>
        <v>17743</v>
      </c>
    </row>
    <row r="21" spans="1:13" ht="14.15" customHeight="1" x14ac:dyDescent="0.35">
      <c r="B21" s="105" t="s">
        <v>549</v>
      </c>
      <c r="C21" s="415">
        <v>0</v>
      </c>
      <c r="D21" s="41">
        <v>2625</v>
      </c>
      <c r="E21" s="41">
        <v>0</v>
      </c>
      <c r="F21" s="41">
        <v>0</v>
      </c>
      <c r="G21" s="41">
        <v>323</v>
      </c>
      <c r="H21" s="41">
        <v>0</v>
      </c>
      <c r="I21" s="41">
        <v>0</v>
      </c>
      <c r="J21" s="50">
        <f t="shared" si="4"/>
        <v>2948</v>
      </c>
    </row>
    <row r="22" spans="1:13" ht="14.15" customHeight="1" x14ac:dyDescent="0.35">
      <c r="B22" s="105" t="s">
        <v>921</v>
      </c>
      <c r="C22" s="415">
        <v>0</v>
      </c>
      <c r="D22" s="41">
        <v>-1992</v>
      </c>
      <c r="E22" s="41">
        <v>0</v>
      </c>
      <c r="F22" s="41">
        <v>0</v>
      </c>
      <c r="G22" s="41">
        <v>0</v>
      </c>
      <c r="H22" s="41">
        <v>0</v>
      </c>
      <c r="I22" s="41">
        <v>0</v>
      </c>
      <c r="J22" s="50">
        <f t="shared" si="4"/>
        <v>-1992</v>
      </c>
    </row>
    <row r="23" spans="1:13" ht="14.15" customHeight="1" x14ac:dyDescent="0.35">
      <c r="B23" s="105" t="s">
        <v>922</v>
      </c>
      <c r="C23" s="415">
        <v>0</v>
      </c>
      <c r="D23" s="41">
        <v>-3106</v>
      </c>
      <c r="E23" s="41">
        <v>0</v>
      </c>
      <c r="F23" s="41">
        <v>0</v>
      </c>
      <c r="G23" s="41">
        <v>0</v>
      </c>
      <c r="H23" s="41">
        <v>0</v>
      </c>
      <c r="I23" s="41">
        <v>0</v>
      </c>
      <c r="J23" s="50">
        <f t="shared" si="4"/>
        <v>-3106</v>
      </c>
    </row>
    <row r="24" spans="1:13" s="245" customFormat="1" ht="14.15" hidden="1" customHeight="1" x14ac:dyDescent="0.35">
      <c r="A24" s="243"/>
      <c r="B24" s="216" t="s">
        <v>923</v>
      </c>
      <c r="C24" s="415">
        <v>0</v>
      </c>
      <c r="D24" s="218">
        <v>0</v>
      </c>
      <c r="E24" s="218">
        <v>0</v>
      </c>
      <c r="F24" s="218">
        <v>0</v>
      </c>
      <c r="G24" s="218">
        <v>0</v>
      </c>
      <c r="H24" s="218">
        <v>0</v>
      </c>
      <c r="I24" s="218">
        <v>0</v>
      </c>
      <c r="J24" s="227">
        <f t="shared" si="4"/>
        <v>0</v>
      </c>
      <c r="K24" s="237"/>
      <c r="L24" s="300"/>
      <c r="M24" s="300"/>
    </row>
    <row r="25" spans="1:13" ht="14.15" customHeight="1" x14ac:dyDescent="0.35">
      <c r="B25" s="105" t="s">
        <v>924</v>
      </c>
      <c r="C25" s="415">
        <v>0</v>
      </c>
      <c r="D25" s="41">
        <v>-23</v>
      </c>
      <c r="E25" s="41">
        <v>0</v>
      </c>
      <c r="F25" s="41">
        <v>0</v>
      </c>
      <c r="G25" s="41">
        <v>-6078</v>
      </c>
      <c r="H25" s="41">
        <v>0</v>
      </c>
      <c r="I25" s="41">
        <v>0</v>
      </c>
      <c r="J25" s="50">
        <f t="shared" si="4"/>
        <v>-6101</v>
      </c>
    </row>
    <row r="26" spans="1:13" ht="14.15" customHeight="1" x14ac:dyDescent="0.35">
      <c r="B26" s="105" t="s">
        <v>925</v>
      </c>
      <c r="C26" s="415">
        <v>0</v>
      </c>
      <c r="D26" s="41">
        <v>0</v>
      </c>
      <c r="E26" s="41">
        <v>0</v>
      </c>
      <c r="F26" s="41">
        <v>-1081</v>
      </c>
      <c r="G26" s="41">
        <v>-222</v>
      </c>
      <c r="H26" s="41">
        <v>-8852</v>
      </c>
      <c r="I26" s="41">
        <v>-15</v>
      </c>
      <c r="J26" s="50">
        <f t="shared" si="4"/>
        <v>-10170</v>
      </c>
    </row>
    <row r="27" spans="1:13" ht="29.25" customHeight="1" thickBot="1" x14ac:dyDescent="0.4">
      <c r="B27" s="14" t="str">
        <f>"Accumulated depreciation at " &amp; TEXT(CurrentYearEnd, "d mmmm yyyy")</f>
        <v>Accumulated depreciation at 31 March 2025</v>
      </c>
      <c r="C27" s="416">
        <f t="shared" ref="C27:J27" si="5">SUM(C17:C26)</f>
        <v>0</v>
      </c>
      <c r="D27" s="42">
        <f t="shared" si="5"/>
        <v>375.4409999999998</v>
      </c>
      <c r="E27" s="42">
        <f t="shared" si="5"/>
        <v>0</v>
      </c>
      <c r="F27" s="42">
        <f t="shared" si="5"/>
        <v>13260</v>
      </c>
      <c r="G27" s="42">
        <f t="shared" si="5"/>
        <v>42428</v>
      </c>
      <c r="H27" s="42">
        <f t="shared" si="5"/>
        <v>15108</v>
      </c>
      <c r="I27" s="42">
        <f t="shared" si="5"/>
        <v>3797</v>
      </c>
      <c r="J27" s="42">
        <f t="shared" si="5"/>
        <v>74968.440999999992</v>
      </c>
    </row>
    <row r="28" spans="1:13" ht="11.9" customHeight="1" thickTop="1" x14ac:dyDescent="0.35">
      <c r="B28" s="14"/>
      <c r="C28" s="23"/>
      <c r="D28" s="23"/>
      <c r="E28" s="23"/>
      <c r="F28" s="23"/>
      <c r="G28" s="23"/>
      <c r="H28" s="23"/>
      <c r="I28" s="23"/>
      <c r="J28" s="23"/>
    </row>
    <row r="29" spans="1:13" ht="14.15" customHeight="1" x14ac:dyDescent="0.35">
      <c r="B29" s="14" t="str">
        <f>"Net book value at "&amp; TEXT(CurrentYearEnd, "d mmmm yyyy")</f>
        <v>Net book value at 31 March 2025</v>
      </c>
      <c r="C29" s="50">
        <f>C15-C27</f>
        <v>13564</v>
      </c>
      <c r="D29" s="50">
        <f t="shared" ref="D29:I29" si="6">D15-D27</f>
        <v>29468.007000000001</v>
      </c>
      <c r="E29" s="50">
        <f t="shared" si="6"/>
        <v>22498</v>
      </c>
      <c r="F29" s="50">
        <f t="shared" si="6"/>
        <v>10018</v>
      </c>
      <c r="G29" s="50">
        <f t="shared" si="6"/>
        <v>32030</v>
      </c>
      <c r="H29" s="50">
        <f t="shared" si="6"/>
        <v>6998</v>
      </c>
      <c r="I29" s="50">
        <f t="shared" si="6"/>
        <v>1758</v>
      </c>
      <c r="J29" s="50">
        <f>SUM(C29:I29)</f>
        <v>116334.007</v>
      </c>
    </row>
    <row r="30" spans="1:13" ht="14.15" customHeight="1" x14ac:dyDescent="0.35">
      <c r="B30" s="14" t="str">
        <f>"Net book value at "&amp; TEXT(CurrentYearStart,"d mmmm yyyy")</f>
        <v>Net book value at 1 April 2024</v>
      </c>
      <c r="C30" s="50">
        <f t="shared" ref="C30:I30" si="7">C5-C17</f>
        <v>13800</v>
      </c>
      <c r="D30" s="50">
        <f>D5-D17</f>
        <v>27339.007000000001</v>
      </c>
      <c r="E30" s="50">
        <f t="shared" si="7"/>
        <v>15260</v>
      </c>
      <c r="F30" s="50">
        <f t="shared" si="7"/>
        <v>9226</v>
      </c>
      <c r="G30" s="50">
        <f t="shared" si="7"/>
        <v>31380</v>
      </c>
      <c r="H30" s="50">
        <f t="shared" si="7"/>
        <v>10630</v>
      </c>
      <c r="I30" s="50">
        <f t="shared" si="7"/>
        <v>1901</v>
      </c>
      <c r="J30" s="50">
        <f>SUM(C30:I30)</f>
        <v>109536.007</v>
      </c>
    </row>
    <row r="31" spans="1:13" ht="14.15" customHeight="1" x14ac:dyDescent="0.35">
      <c r="C31" s="17"/>
      <c r="D31" s="17"/>
      <c r="E31" s="17"/>
      <c r="F31" s="17"/>
      <c r="G31" s="17"/>
      <c r="H31" s="17"/>
      <c r="I31" s="17"/>
      <c r="J31" s="17"/>
    </row>
    <row r="32" spans="1:13" ht="14.15" customHeight="1" x14ac:dyDescent="0.35">
      <c r="A32" s="31">
        <f>A1+0.1</f>
        <v>14.2</v>
      </c>
      <c r="B32" s="93" t="str">
        <f>"Note "&amp; A32&amp; " Property, plant and equipment - " &amp; ComparativeFY</f>
        <v>Note 14.2 Property, plant and equipment - 2023/24</v>
      </c>
    </row>
    <row r="33" spans="1:13" ht="6.75" customHeight="1" x14ac:dyDescent="0.35">
      <c r="B33" s="93"/>
    </row>
    <row r="34" spans="1:13" ht="38.25" customHeight="1" x14ac:dyDescent="0.35">
      <c r="B34" s="14"/>
      <c r="C34" s="226" t="s">
        <v>663</v>
      </c>
      <c r="D34" s="226" t="s">
        <v>929</v>
      </c>
      <c r="E34" s="226" t="s">
        <v>930</v>
      </c>
      <c r="F34" s="226" t="s">
        <v>666</v>
      </c>
      <c r="G34" s="226" t="s">
        <v>667</v>
      </c>
      <c r="H34" s="226" t="s">
        <v>668</v>
      </c>
      <c r="I34" s="226" t="s">
        <v>669</v>
      </c>
      <c r="J34" s="226" t="s">
        <v>917</v>
      </c>
    </row>
    <row r="35" spans="1:13" ht="14.15" customHeight="1" x14ac:dyDescent="0.35">
      <c r="B35" s="14"/>
      <c r="C35" s="80" t="s">
        <v>542</v>
      </c>
      <c r="D35" s="80" t="s">
        <v>542</v>
      </c>
      <c r="E35" s="80" t="s">
        <v>462</v>
      </c>
      <c r="F35" s="80" t="s">
        <v>462</v>
      </c>
      <c r="G35" s="80" t="s">
        <v>462</v>
      </c>
      <c r="H35" s="80" t="s">
        <v>462</v>
      </c>
      <c r="I35" s="80" t="s">
        <v>462</v>
      </c>
      <c r="J35" s="80" t="s">
        <v>542</v>
      </c>
    </row>
    <row r="36" spans="1:13" ht="24" customHeight="1" x14ac:dyDescent="0.35">
      <c r="B36" s="14" t="str">
        <f>"Valuation / gross cost at " &amp; TEXT(ComparativeYearStart, "d mmmm yyyy") &amp; " - as previously stated"</f>
        <v>Valuation / gross cost at 1 April 2023 - as previously stated</v>
      </c>
      <c r="C36" s="50">
        <v>13413</v>
      </c>
      <c r="D36" s="50">
        <v>28469.448</v>
      </c>
      <c r="E36" s="50">
        <v>8681</v>
      </c>
      <c r="F36" s="50">
        <v>19717</v>
      </c>
      <c r="G36" s="50">
        <v>67110</v>
      </c>
      <c r="H36" s="50">
        <v>32305</v>
      </c>
      <c r="I36" s="50">
        <v>5107</v>
      </c>
      <c r="J36" s="50">
        <f t="shared" ref="J36:J47" si="8">SUM(C36:I36)</f>
        <v>174802.448</v>
      </c>
    </row>
    <row r="37" spans="1:13" s="245" customFormat="1" ht="14.15" hidden="1" customHeight="1" x14ac:dyDescent="0.35">
      <c r="A37" s="243"/>
      <c r="B37" s="216" t="s">
        <v>500</v>
      </c>
      <c r="C37" s="218">
        <v>0</v>
      </c>
      <c r="D37" s="218">
        <v>0</v>
      </c>
      <c r="E37" s="218">
        <v>0</v>
      </c>
      <c r="F37" s="218">
        <v>0</v>
      </c>
      <c r="G37" s="218">
        <v>0</v>
      </c>
      <c r="H37" s="218">
        <v>0</v>
      </c>
      <c r="I37" s="218">
        <v>0</v>
      </c>
      <c r="J37" s="227">
        <f t="shared" si="8"/>
        <v>0</v>
      </c>
      <c r="K37" s="237"/>
    </row>
    <row r="38" spans="1:13" s="245" customFormat="1" ht="27" hidden="1" customHeight="1" x14ac:dyDescent="0.35">
      <c r="A38" s="243"/>
      <c r="B38" s="255" t="str">
        <f>"Valuation / gross cost at " &amp; TEXT(ComparativeYearStart, "d mmmm yyyy") &amp; " - restated"</f>
        <v>Valuation / gross cost at 1 April 2023 - restated</v>
      </c>
      <c r="C38" s="222">
        <f>SUM(C36:C37)</f>
        <v>13413</v>
      </c>
      <c r="D38" s="222">
        <f t="shared" ref="D38:I38" si="9">SUM(D36:D37)</f>
        <v>28469.448</v>
      </c>
      <c r="E38" s="222">
        <f t="shared" si="9"/>
        <v>8681</v>
      </c>
      <c r="F38" s="222">
        <f t="shared" si="9"/>
        <v>19717</v>
      </c>
      <c r="G38" s="222">
        <f t="shared" si="9"/>
        <v>67110</v>
      </c>
      <c r="H38" s="222">
        <f t="shared" si="9"/>
        <v>32305</v>
      </c>
      <c r="I38" s="222">
        <f t="shared" si="9"/>
        <v>5107</v>
      </c>
      <c r="J38" s="222">
        <f t="shared" si="8"/>
        <v>174802.448</v>
      </c>
      <c r="K38" s="237"/>
    </row>
    <row r="39" spans="1:13" ht="13.75" hidden="1" customHeight="1" x14ac:dyDescent="0.35">
      <c r="B39" s="14" t="s">
        <v>933</v>
      </c>
      <c r="C39" s="179">
        <v>0</v>
      </c>
      <c r="D39" s="179">
        <v>0</v>
      </c>
      <c r="E39" s="179">
        <v>0</v>
      </c>
      <c r="F39" s="179">
        <v>0</v>
      </c>
      <c r="G39" s="179">
        <v>0</v>
      </c>
      <c r="H39" s="179">
        <v>0</v>
      </c>
      <c r="I39" s="179">
        <v>0</v>
      </c>
      <c r="J39" s="50">
        <f t="shared" si="8"/>
        <v>0</v>
      </c>
      <c r="M39" s="166" t="s">
        <v>544</v>
      </c>
    </row>
    <row r="40" spans="1:13" s="245" customFormat="1" ht="14.15" hidden="1" customHeight="1" x14ac:dyDescent="0.35">
      <c r="A40" s="243"/>
      <c r="B40" s="216" t="s">
        <v>927</v>
      </c>
      <c r="C40" s="228">
        <v>0</v>
      </c>
      <c r="D40" s="228">
        <v>0</v>
      </c>
      <c r="E40" s="228">
        <v>0</v>
      </c>
      <c r="F40" s="228">
        <v>0</v>
      </c>
      <c r="G40" s="228">
        <v>0</v>
      </c>
      <c r="H40" s="228">
        <v>0</v>
      </c>
      <c r="I40" s="228">
        <v>0</v>
      </c>
      <c r="J40" s="227">
        <f t="shared" si="8"/>
        <v>0</v>
      </c>
      <c r="K40" s="237"/>
    </row>
    <row r="41" spans="1:13" ht="14.15" customHeight="1" x14ac:dyDescent="0.35">
      <c r="B41" s="112" t="s">
        <v>920</v>
      </c>
      <c r="C41" s="41">
        <v>0</v>
      </c>
      <c r="D41" s="41">
        <v>3509</v>
      </c>
      <c r="E41" s="41">
        <v>18748</v>
      </c>
      <c r="F41" s="41">
        <v>587</v>
      </c>
      <c r="G41" s="41">
        <v>859</v>
      </c>
      <c r="H41" s="41">
        <v>1577</v>
      </c>
      <c r="I41" s="41">
        <v>195</v>
      </c>
      <c r="J41" s="50">
        <f t="shared" si="8"/>
        <v>25475</v>
      </c>
    </row>
    <row r="42" spans="1:13" ht="14.15" customHeight="1" x14ac:dyDescent="0.35">
      <c r="B42" s="105" t="s">
        <v>549</v>
      </c>
      <c r="C42" s="41">
        <v>-95</v>
      </c>
      <c r="D42" s="41">
        <v>-490</v>
      </c>
      <c r="E42" s="41">
        <v>0</v>
      </c>
      <c r="F42" s="41">
        <v>0</v>
      </c>
      <c r="G42" s="41">
        <v>0</v>
      </c>
      <c r="H42" s="41">
        <v>0</v>
      </c>
      <c r="I42" s="41">
        <v>0</v>
      </c>
      <c r="J42" s="50">
        <f t="shared" si="8"/>
        <v>-585</v>
      </c>
    </row>
    <row r="43" spans="1:13" ht="14.15" customHeight="1" x14ac:dyDescent="0.35">
      <c r="B43" s="105" t="s">
        <v>921</v>
      </c>
      <c r="C43" s="41">
        <v>392</v>
      </c>
      <c r="D43" s="41">
        <v>651</v>
      </c>
      <c r="E43" s="41">
        <v>0</v>
      </c>
      <c r="F43" s="41">
        <v>0</v>
      </c>
      <c r="G43" s="41">
        <v>0</v>
      </c>
      <c r="H43" s="41">
        <v>0</v>
      </c>
      <c r="I43" s="41">
        <v>0</v>
      </c>
      <c r="J43" s="50">
        <f t="shared" si="8"/>
        <v>1043</v>
      </c>
    </row>
    <row r="44" spans="1:13" ht="14.15" customHeight="1" x14ac:dyDescent="0.35">
      <c r="B44" s="105" t="s">
        <v>922</v>
      </c>
      <c r="C44" s="41">
        <v>350</v>
      </c>
      <c r="D44" s="41">
        <v>-3703</v>
      </c>
      <c r="E44" s="41">
        <v>-120</v>
      </c>
      <c r="F44" s="41">
        <v>0</v>
      </c>
      <c r="G44" s="41">
        <v>0</v>
      </c>
      <c r="H44" s="41">
        <v>0</v>
      </c>
      <c r="I44" s="41">
        <v>0</v>
      </c>
      <c r="J44" s="50">
        <f t="shared" si="8"/>
        <v>-3473</v>
      </c>
    </row>
    <row r="45" spans="1:13" ht="14.15" customHeight="1" x14ac:dyDescent="0.35">
      <c r="B45" s="105" t="s">
        <v>923</v>
      </c>
      <c r="C45" s="41">
        <v>0</v>
      </c>
      <c r="D45" s="41">
        <v>0</v>
      </c>
      <c r="E45" s="41">
        <v>-12049</v>
      </c>
      <c r="F45" s="41">
        <v>2737</v>
      </c>
      <c r="G45" s="41">
        <v>9312</v>
      </c>
      <c r="H45" s="41">
        <v>0</v>
      </c>
      <c r="I45" s="41">
        <v>0</v>
      </c>
      <c r="J45" s="50">
        <f t="shared" si="8"/>
        <v>0</v>
      </c>
    </row>
    <row r="46" spans="1:13" ht="13.75" customHeight="1" x14ac:dyDescent="0.35">
      <c r="B46" s="105" t="s">
        <v>924</v>
      </c>
      <c r="C46" s="41">
        <v>-260</v>
      </c>
      <c r="D46" s="41">
        <v>-841</v>
      </c>
      <c r="E46" s="41">
        <v>0</v>
      </c>
      <c r="F46" s="41">
        <v>0</v>
      </c>
      <c r="G46" s="41">
        <v>-6235</v>
      </c>
      <c r="H46" s="41">
        <v>0</v>
      </c>
      <c r="I46" s="41">
        <v>0</v>
      </c>
      <c r="J46" s="50">
        <f t="shared" si="8"/>
        <v>-7336</v>
      </c>
    </row>
    <row r="47" spans="1:13" ht="14.15" customHeight="1" x14ac:dyDescent="0.35">
      <c r="B47" s="105" t="s">
        <v>925</v>
      </c>
      <c r="C47" s="41">
        <v>0</v>
      </c>
      <c r="D47" s="41">
        <v>0</v>
      </c>
      <c r="E47" s="41">
        <v>0</v>
      </c>
      <c r="F47" s="41">
        <v>-1291</v>
      </c>
      <c r="G47" s="41">
        <v>-99</v>
      </c>
      <c r="H47" s="41">
        <v>-3280</v>
      </c>
      <c r="I47" s="41">
        <v>-74</v>
      </c>
      <c r="J47" s="50">
        <f t="shared" si="8"/>
        <v>-4744</v>
      </c>
    </row>
    <row r="48" spans="1:13" ht="14.15" customHeight="1" thickBot="1" x14ac:dyDescent="0.4">
      <c r="B48" s="93" t="str">
        <f>"Valuation/gross cost at " &amp; TEXT(ComparativeYearEnd, "d mmmm yyyy")</f>
        <v>Valuation/gross cost at 31 March 2024</v>
      </c>
      <c r="C48" s="42">
        <f t="shared" ref="C48:J48" si="10">SUM(C38:C47)</f>
        <v>13800</v>
      </c>
      <c r="D48" s="42">
        <f t="shared" si="10"/>
        <v>27595.448</v>
      </c>
      <c r="E48" s="42">
        <f t="shared" si="10"/>
        <v>15260</v>
      </c>
      <c r="F48" s="42">
        <f t="shared" si="10"/>
        <v>21750</v>
      </c>
      <c r="G48" s="42">
        <f t="shared" si="10"/>
        <v>70947</v>
      </c>
      <c r="H48" s="42">
        <f t="shared" si="10"/>
        <v>30602</v>
      </c>
      <c r="I48" s="42">
        <f t="shared" si="10"/>
        <v>5228</v>
      </c>
      <c r="J48" s="42">
        <f t="shared" si="10"/>
        <v>185182.448</v>
      </c>
    </row>
    <row r="49" spans="1:13" ht="11.25" customHeight="1" thickTop="1" x14ac:dyDescent="0.35">
      <c r="B49" s="14"/>
      <c r="C49" s="21"/>
      <c r="D49" s="21"/>
      <c r="E49" s="21"/>
      <c r="F49" s="21"/>
      <c r="G49" s="21"/>
      <c r="H49" s="21"/>
      <c r="I49" s="21"/>
      <c r="J49" s="21"/>
    </row>
    <row r="50" spans="1:13" ht="25" customHeight="1" x14ac:dyDescent="0.35">
      <c r="B50" s="14" t="str">
        <f>"Accumulated depreciation at " &amp; TEXT(ComparativeYearStart, "d mmmm yyyy") &amp; " - as previously stated"</f>
        <v>Accumulated depreciation at 1 April 2023 - as previously stated</v>
      </c>
      <c r="C50" s="50">
        <v>0</v>
      </c>
      <c r="D50" s="50">
        <v>50.441000000000003</v>
      </c>
      <c r="E50" s="50">
        <v>0</v>
      </c>
      <c r="F50" s="50">
        <v>12148</v>
      </c>
      <c r="G50" s="50">
        <v>37497</v>
      </c>
      <c r="H50" s="50">
        <v>17758</v>
      </c>
      <c r="I50" s="50">
        <v>2970</v>
      </c>
      <c r="J50" s="50">
        <f t="shared" ref="J50:J61" si="11">SUM(C50:I50)</f>
        <v>70423.440999999992</v>
      </c>
    </row>
    <row r="51" spans="1:13" s="245" customFormat="1" ht="14.15" hidden="1" customHeight="1" x14ac:dyDescent="0.35">
      <c r="A51" s="243"/>
      <c r="B51" s="216" t="s">
        <v>500</v>
      </c>
      <c r="C51" s="228">
        <v>0</v>
      </c>
      <c r="D51" s="228">
        <v>0</v>
      </c>
      <c r="E51" s="228">
        <v>0</v>
      </c>
      <c r="F51" s="228">
        <v>0</v>
      </c>
      <c r="G51" s="228">
        <v>0</v>
      </c>
      <c r="H51" s="228">
        <v>0</v>
      </c>
      <c r="I51" s="228">
        <v>0</v>
      </c>
      <c r="J51" s="227">
        <f t="shared" si="11"/>
        <v>0</v>
      </c>
      <c r="K51" s="237"/>
    </row>
    <row r="52" spans="1:13" s="245" customFormat="1" ht="14.5" hidden="1" customHeight="1" x14ac:dyDescent="0.35">
      <c r="A52" s="243"/>
      <c r="B52" s="255" t="str">
        <f>"Accumulated depreciation at " &amp; TEXT(ComparativeYearStart, "d mmmm yyyy") &amp; " - restated"</f>
        <v>Accumulated depreciation at 1 April 2023 - restated</v>
      </c>
      <c r="C52" s="222">
        <f>SUM(C50:C51)</f>
        <v>0</v>
      </c>
      <c r="D52" s="222">
        <f t="shared" ref="D52:I52" si="12">SUM(D50:D51)</f>
        <v>50.441000000000003</v>
      </c>
      <c r="E52" s="222">
        <f t="shared" si="12"/>
        <v>0</v>
      </c>
      <c r="F52" s="222">
        <f t="shared" si="12"/>
        <v>12148</v>
      </c>
      <c r="G52" s="222">
        <f t="shared" si="12"/>
        <v>37497</v>
      </c>
      <c r="H52" s="222">
        <f t="shared" si="12"/>
        <v>17758</v>
      </c>
      <c r="I52" s="222">
        <f t="shared" si="12"/>
        <v>2970</v>
      </c>
      <c r="J52" s="222">
        <f t="shared" si="11"/>
        <v>70423.440999999992</v>
      </c>
      <c r="K52" s="237"/>
    </row>
    <row r="53" spans="1:13" ht="14.15" hidden="1" customHeight="1" x14ac:dyDescent="0.35">
      <c r="B53" s="14" t="s">
        <v>932</v>
      </c>
      <c r="C53" s="179">
        <v>0</v>
      </c>
      <c r="D53" s="179">
        <v>0</v>
      </c>
      <c r="E53" s="179">
        <v>0</v>
      </c>
      <c r="F53" s="179">
        <v>0</v>
      </c>
      <c r="G53" s="179">
        <v>0</v>
      </c>
      <c r="H53" s="179">
        <v>0</v>
      </c>
      <c r="I53" s="179">
        <v>0</v>
      </c>
      <c r="J53" s="50">
        <f t="shared" si="11"/>
        <v>0</v>
      </c>
      <c r="M53" s="166" t="s">
        <v>544</v>
      </c>
    </row>
    <row r="54" spans="1:13" ht="14.15" customHeight="1" x14ac:dyDescent="0.35">
      <c r="B54" s="105" t="s">
        <v>919</v>
      </c>
      <c r="C54" s="179">
        <v>0</v>
      </c>
      <c r="D54" s="179">
        <v>0</v>
      </c>
      <c r="E54" s="179">
        <v>0</v>
      </c>
      <c r="F54" s="179">
        <v>0</v>
      </c>
      <c r="G54" s="179">
        <v>0</v>
      </c>
      <c r="H54" s="179">
        <v>0</v>
      </c>
      <c r="I54" s="179">
        <v>0</v>
      </c>
      <c r="J54" s="50">
        <f t="shared" si="11"/>
        <v>0</v>
      </c>
    </row>
    <row r="55" spans="1:13" ht="14.15" customHeight="1" x14ac:dyDescent="0.35">
      <c r="B55" s="105" t="s">
        <v>928</v>
      </c>
      <c r="C55" s="179">
        <v>0</v>
      </c>
      <c r="D55" s="179">
        <v>2619</v>
      </c>
      <c r="E55" s="179">
        <v>0</v>
      </c>
      <c r="F55" s="179">
        <v>1667</v>
      </c>
      <c r="G55" s="179">
        <v>8210</v>
      </c>
      <c r="H55" s="179">
        <v>4599</v>
      </c>
      <c r="I55" s="179">
        <v>425</v>
      </c>
      <c r="J55" s="50">
        <f t="shared" si="11"/>
        <v>17520</v>
      </c>
    </row>
    <row r="56" spans="1:13" ht="14.15" customHeight="1" x14ac:dyDescent="0.35">
      <c r="B56" s="105" t="s">
        <v>549</v>
      </c>
      <c r="C56" s="41">
        <v>0</v>
      </c>
      <c r="D56" s="41">
        <v>4137</v>
      </c>
      <c r="E56" s="41">
        <v>324</v>
      </c>
      <c r="F56" s="41">
        <v>0</v>
      </c>
      <c r="G56" s="41">
        <v>187</v>
      </c>
      <c r="H56" s="41">
        <v>895</v>
      </c>
      <c r="I56" s="41">
        <v>6</v>
      </c>
      <c r="J56" s="50">
        <f t="shared" si="11"/>
        <v>5549</v>
      </c>
    </row>
    <row r="57" spans="1:13" ht="14.15" customHeight="1" x14ac:dyDescent="0.35">
      <c r="B57" s="105" t="s">
        <v>921</v>
      </c>
      <c r="C57" s="41">
        <v>-312</v>
      </c>
      <c r="D57" s="41">
        <v>-1573</v>
      </c>
      <c r="E57" s="41">
        <v>0</v>
      </c>
      <c r="F57" s="41">
        <v>0</v>
      </c>
      <c r="G57" s="41">
        <v>0</v>
      </c>
      <c r="H57" s="41">
        <v>0</v>
      </c>
      <c r="I57" s="41">
        <v>0</v>
      </c>
      <c r="J57" s="50">
        <f t="shared" si="11"/>
        <v>-1885</v>
      </c>
    </row>
    <row r="58" spans="1:13" ht="14.15" customHeight="1" x14ac:dyDescent="0.35">
      <c r="B58" s="105" t="s">
        <v>922</v>
      </c>
      <c r="C58" s="41">
        <v>246</v>
      </c>
      <c r="D58" s="41">
        <v>-4936</v>
      </c>
      <c r="E58" s="41">
        <v>-324</v>
      </c>
      <c r="F58" s="41">
        <v>0</v>
      </c>
      <c r="G58" s="41">
        <v>0</v>
      </c>
      <c r="H58" s="41">
        <v>0</v>
      </c>
      <c r="I58" s="41">
        <v>0</v>
      </c>
      <c r="J58" s="50">
        <f t="shared" si="11"/>
        <v>-5014</v>
      </c>
    </row>
    <row r="59" spans="1:13" ht="14.15" customHeight="1" x14ac:dyDescent="0.35">
      <c r="B59" s="105" t="s">
        <v>923</v>
      </c>
      <c r="C59" s="41">
        <v>0</v>
      </c>
      <c r="D59" s="41">
        <v>0</v>
      </c>
      <c r="E59" s="41">
        <v>0</v>
      </c>
      <c r="F59" s="41">
        <v>0</v>
      </c>
      <c r="G59" s="41">
        <v>0</v>
      </c>
      <c r="H59" s="41">
        <v>0</v>
      </c>
      <c r="I59" s="41">
        <v>0</v>
      </c>
      <c r="J59" s="50">
        <f t="shared" si="11"/>
        <v>0</v>
      </c>
    </row>
    <row r="60" spans="1:13" ht="13.75" customHeight="1" x14ac:dyDescent="0.35">
      <c r="B60" s="105" t="s">
        <v>924</v>
      </c>
      <c r="C60" s="41">
        <v>66</v>
      </c>
      <c r="D60" s="41">
        <v>-41</v>
      </c>
      <c r="E60" s="41">
        <v>0</v>
      </c>
      <c r="F60" s="41">
        <v>0</v>
      </c>
      <c r="G60" s="41">
        <v>-6235</v>
      </c>
      <c r="H60" s="41">
        <v>0</v>
      </c>
      <c r="I60" s="41">
        <v>0</v>
      </c>
      <c r="J60" s="50">
        <f t="shared" si="11"/>
        <v>-6210</v>
      </c>
    </row>
    <row r="61" spans="1:13" ht="14.15" customHeight="1" x14ac:dyDescent="0.35">
      <c r="B61" s="105" t="s">
        <v>925</v>
      </c>
      <c r="C61" s="41">
        <v>0</v>
      </c>
      <c r="D61" s="41">
        <v>0</v>
      </c>
      <c r="E61" s="41">
        <v>0</v>
      </c>
      <c r="F61" s="41">
        <v>-1291</v>
      </c>
      <c r="G61" s="41">
        <v>-92</v>
      </c>
      <c r="H61" s="41">
        <v>-3280</v>
      </c>
      <c r="I61" s="41">
        <v>-74</v>
      </c>
      <c r="J61" s="50">
        <f t="shared" si="11"/>
        <v>-4737</v>
      </c>
    </row>
    <row r="62" spans="1:13" ht="25.5" customHeight="1" thickBot="1" x14ac:dyDescent="0.4">
      <c r="B62" s="14" t="str">
        <f>"Accumulated depreciation at " &amp; TEXT(ComparativeYearEnd, "d mmmm yyyy")</f>
        <v>Accumulated depreciation at 31 March 2024</v>
      </c>
      <c r="C62" s="42">
        <f t="shared" ref="C62:J62" si="13">SUM(C52:C61)</f>
        <v>0</v>
      </c>
      <c r="D62" s="42">
        <f t="shared" si="13"/>
        <v>256.4409999999998</v>
      </c>
      <c r="E62" s="42">
        <f t="shared" si="13"/>
        <v>0</v>
      </c>
      <c r="F62" s="42">
        <f t="shared" si="13"/>
        <v>12524</v>
      </c>
      <c r="G62" s="42">
        <f t="shared" si="13"/>
        <v>39567</v>
      </c>
      <c r="H62" s="42">
        <f t="shared" si="13"/>
        <v>19972</v>
      </c>
      <c r="I62" s="42">
        <f t="shared" si="13"/>
        <v>3327</v>
      </c>
      <c r="J62" s="42">
        <f t="shared" si="13"/>
        <v>75646.440999999992</v>
      </c>
    </row>
    <row r="63" spans="1:13" ht="10.75" customHeight="1" thickTop="1" x14ac:dyDescent="0.35">
      <c r="B63" s="14"/>
    </row>
    <row r="64" spans="1:13" ht="14.15" customHeight="1" x14ac:dyDescent="0.35">
      <c r="B64" s="14" t="str">
        <f>"Net book value at "&amp; TEXT(ComparativeYearEnd, "d mmmm yyyy")</f>
        <v>Net book value at 31 March 2024</v>
      </c>
      <c r="C64" s="50">
        <f t="shared" ref="C64:I64" si="14">C48-C62</f>
        <v>13800</v>
      </c>
      <c r="D64" s="50">
        <f t="shared" si="14"/>
        <v>27339.007000000001</v>
      </c>
      <c r="E64" s="50">
        <f t="shared" si="14"/>
        <v>15260</v>
      </c>
      <c r="F64" s="50">
        <f t="shared" si="14"/>
        <v>9226</v>
      </c>
      <c r="G64" s="50">
        <f t="shared" si="14"/>
        <v>31380</v>
      </c>
      <c r="H64" s="50">
        <f t="shared" si="14"/>
        <v>10630</v>
      </c>
      <c r="I64" s="50">
        <f t="shared" si="14"/>
        <v>1901</v>
      </c>
      <c r="J64" s="50">
        <f>SUM(C64:I64)</f>
        <v>109536.007</v>
      </c>
      <c r="L64" s="17"/>
      <c r="M64" s="17"/>
    </row>
    <row r="65" spans="2:13" ht="14.15" customHeight="1" x14ac:dyDescent="0.35">
      <c r="B65" s="14" t="str">
        <f>"Net book value at "&amp; TEXT(ComparativeYearStart, "d mmmm yyyy")</f>
        <v>Net book value at 1 April 2023</v>
      </c>
      <c r="C65" s="50">
        <f t="shared" ref="C65:I65" si="15">C38-C52</f>
        <v>13413</v>
      </c>
      <c r="D65" s="50">
        <f t="shared" si="15"/>
        <v>28419.007000000001</v>
      </c>
      <c r="E65" s="50">
        <f t="shared" si="15"/>
        <v>8681</v>
      </c>
      <c r="F65" s="50">
        <f t="shared" si="15"/>
        <v>7569</v>
      </c>
      <c r="G65" s="50">
        <f t="shared" si="15"/>
        <v>29613</v>
      </c>
      <c r="H65" s="50">
        <f t="shared" si="15"/>
        <v>14547</v>
      </c>
      <c r="I65" s="50">
        <f t="shared" si="15"/>
        <v>2137</v>
      </c>
      <c r="J65" s="50">
        <f>SUM(C65:I65)</f>
        <v>104379.007</v>
      </c>
      <c r="L65" s="17"/>
      <c r="M65" s="17"/>
    </row>
    <row r="66" spans="2:13" ht="5.25" customHeight="1" x14ac:dyDescent="0.35">
      <c r="C66" s="17"/>
      <c r="D66" s="17"/>
      <c r="E66" s="17"/>
      <c r="F66" s="17"/>
      <c r="G66" s="17"/>
      <c r="H66" s="17"/>
      <c r="I66" s="17"/>
      <c r="J66" s="17"/>
      <c r="L66" s="17"/>
      <c r="M66" s="17"/>
    </row>
    <row r="67" spans="2:13" ht="27.75" customHeight="1" x14ac:dyDescent="0.35">
      <c r="B67" s="452" t="s">
        <v>1780</v>
      </c>
      <c r="C67" s="452"/>
      <c r="D67" s="452"/>
      <c r="E67" s="452"/>
      <c r="F67" s="452"/>
      <c r="G67" s="452"/>
      <c r="H67" s="452"/>
      <c r="I67" s="452"/>
      <c r="J67" s="452"/>
      <c r="L67" s="17"/>
      <c r="M67" s="17"/>
    </row>
    <row r="68" spans="2:13" ht="14.15" customHeight="1" x14ac:dyDescent="0.35">
      <c r="C68" s="17"/>
      <c r="D68" s="17"/>
      <c r="E68" s="17"/>
      <c r="F68" s="17"/>
      <c r="G68" s="17"/>
      <c r="H68" s="17"/>
      <c r="I68" s="17"/>
      <c r="J68" s="17"/>
      <c r="L68" s="17"/>
      <c r="M68" s="17"/>
    </row>
    <row r="69" spans="2:13" ht="14.15" customHeight="1" x14ac:dyDescent="0.35">
      <c r="C69" s="17"/>
      <c r="D69" s="17"/>
      <c r="E69" s="17"/>
      <c r="F69" s="17"/>
      <c r="G69" s="17"/>
      <c r="H69" s="17"/>
      <c r="I69" s="17"/>
      <c r="J69" s="17"/>
      <c r="L69" s="17"/>
      <c r="M69" s="17"/>
    </row>
  </sheetData>
  <mergeCells count="1">
    <mergeCell ref="B67:J67"/>
  </mergeCells>
  <pageMargins left="0.59055118110236227" right="0.59055118110236227" top="0.59055118110236227" bottom="0.59055118110236227" header="0" footer="0"/>
  <pageSetup paperSize="9" scale="79" orientation="portrait" r:id="rId1"/>
  <headerFooter>
    <oddFooter>Page &amp;P</oddFooter>
  </headerFooter>
  <rowBreaks count="1" manualBreakCount="1">
    <brk id="31" max="16383" man="1"/>
  </rowBreaks>
  <colBreaks count="1" manualBreakCount="1">
    <brk id="1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1">
    <tabColor rgb="FF92D050"/>
    <pageSetUpPr fitToPage="1"/>
  </sheetPr>
  <dimension ref="A1:O87"/>
  <sheetViews>
    <sheetView topLeftCell="A44" workbookViewId="0">
      <selection activeCell="Q9" sqref="Q9"/>
    </sheetView>
  </sheetViews>
  <sheetFormatPr defaultColWidth="9.1796875" defaultRowHeight="14.15" customHeight="1" x14ac:dyDescent="0.25"/>
  <cols>
    <col min="1" max="1" width="1.26953125" style="31" customWidth="1"/>
    <col min="2" max="2" width="22.7265625" style="1" customWidth="1"/>
    <col min="3" max="3" width="8.81640625" style="1" customWidth="1"/>
    <col min="4" max="4" width="9.7265625" style="1" customWidth="1"/>
    <col min="5" max="5" width="9.1796875" style="245" hidden="1" customWidth="1"/>
    <col min="6" max="6" width="11.54296875" style="1" customWidth="1"/>
    <col min="7" max="8" width="9.7265625" style="1" customWidth="1"/>
    <col min="9" max="9" width="11" style="1" customWidth="1"/>
    <col min="10" max="10" width="9.7265625" style="1" customWidth="1"/>
    <col min="11" max="12" width="9" style="1" customWidth="1"/>
    <col min="13" max="16384" width="9.1796875" style="1"/>
  </cols>
  <sheetData>
    <row r="1" spans="1:15" ht="14.15" customHeight="1" x14ac:dyDescent="0.25">
      <c r="A1" s="31">
        <f>'14 PPE1'!A32+0.1</f>
        <v>14.299999999999999</v>
      </c>
      <c r="B1" s="93" t="str">
        <f>"Note "&amp;A1&amp; " Property, plant and equipment financing - " &amp;TEXT(CurrentYearEnd,"d mmmm yyyy")</f>
        <v>Note 14.3 Property, plant and equipment financing - 31 March 2025</v>
      </c>
      <c r="O1" s="100"/>
    </row>
    <row r="2" spans="1:15" ht="14.15" customHeight="1" x14ac:dyDescent="0.25">
      <c r="B2" s="93"/>
      <c r="O2" s="100"/>
    </row>
    <row r="3" spans="1:15" ht="39.75" customHeight="1" x14ac:dyDescent="0.25">
      <c r="B3" s="14"/>
      <c r="C3" s="226" t="s">
        <v>663</v>
      </c>
      <c r="D3" s="226" t="s">
        <v>929</v>
      </c>
      <c r="E3" s="311" t="s">
        <v>665</v>
      </c>
      <c r="F3" s="226" t="s">
        <v>930</v>
      </c>
      <c r="G3" s="226" t="s">
        <v>666</v>
      </c>
      <c r="H3" s="226" t="s">
        <v>667</v>
      </c>
      <c r="I3" s="226" t="s">
        <v>668</v>
      </c>
      <c r="J3" s="226" t="s">
        <v>669</v>
      </c>
      <c r="K3" s="226" t="s">
        <v>917</v>
      </c>
    </row>
    <row r="4" spans="1:15" ht="14.15" customHeight="1" x14ac:dyDescent="0.25">
      <c r="B4" s="14"/>
      <c r="C4" s="80" t="s">
        <v>542</v>
      </c>
      <c r="D4" s="80" t="s">
        <v>542</v>
      </c>
      <c r="E4" s="266" t="s">
        <v>542</v>
      </c>
      <c r="F4" s="80" t="s">
        <v>542</v>
      </c>
      <c r="G4" s="80" t="s">
        <v>542</v>
      </c>
      <c r="H4" s="80" t="s">
        <v>542</v>
      </c>
      <c r="I4" s="80" t="s">
        <v>542</v>
      </c>
      <c r="J4" s="80" t="s">
        <v>542</v>
      </c>
      <c r="K4" s="80" t="s">
        <v>542</v>
      </c>
    </row>
    <row r="5" spans="1:15" ht="14.15" customHeight="1" x14ac:dyDescent="0.25">
      <c r="B5" s="105" t="s">
        <v>934</v>
      </c>
      <c r="C5" s="41">
        <v>13564</v>
      </c>
      <c r="D5" s="41">
        <v>29468.007000000001</v>
      </c>
      <c r="E5" s="218">
        <v>0</v>
      </c>
      <c r="F5" s="41">
        <v>22498</v>
      </c>
      <c r="G5" s="41">
        <v>9608</v>
      </c>
      <c r="H5" s="41">
        <v>32030</v>
      </c>
      <c r="I5" s="41">
        <v>6998</v>
      </c>
      <c r="J5" s="41">
        <v>1758</v>
      </c>
      <c r="K5" s="50">
        <f t="shared" ref="K5:K9" si="0">SUM(C5:J5)</f>
        <v>115924.007</v>
      </c>
    </row>
    <row r="6" spans="1:15" s="245" customFormat="1" ht="26.25" hidden="1" customHeight="1" x14ac:dyDescent="0.25">
      <c r="A6" s="243"/>
      <c r="B6" s="216" t="s">
        <v>935</v>
      </c>
      <c r="C6" s="218">
        <v>0</v>
      </c>
      <c r="D6" s="218">
        <v>0</v>
      </c>
      <c r="E6" s="218">
        <v>0</v>
      </c>
      <c r="F6" s="218">
        <v>0</v>
      </c>
      <c r="G6" s="218">
        <v>0</v>
      </c>
      <c r="H6" s="218">
        <v>0</v>
      </c>
      <c r="I6" s="218">
        <v>0</v>
      </c>
      <c r="J6" s="218">
        <v>0</v>
      </c>
      <c r="K6" s="227">
        <f t="shared" si="0"/>
        <v>0</v>
      </c>
    </row>
    <row r="7" spans="1:15" s="245" customFormat="1" ht="13.5" hidden="1" customHeight="1" x14ac:dyDescent="0.25">
      <c r="A7" s="243"/>
      <c r="B7" s="216" t="s">
        <v>936</v>
      </c>
      <c r="C7" s="218">
        <v>0</v>
      </c>
      <c r="D7" s="218">
        <v>0</v>
      </c>
      <c r="E7" s="218">
        <v>0</v>
      </c>
      <c r="F7" s="218">
        <v>0</v>
      </c>
      <c r="G7" s="218">
        <v>0</v>
      </c>
      <c r="H7" s="218">
        <v>0</v>
      </c>
      <c r="I7" s="218">
        <v>0</v>
      </c>
      <c r="J7" s="218">
        <v>0</v>
      </c>
      <c r="K7" s="227">
        <f t="shared" si="0"/>
        <v>0</v>
      </c>
      <c r="M7" s="309"/>
    </row>
    <row r="8" spans="1:15" ht="14.15" customHeight="1" x14ac:dyDescent="0.25">
      <c r="B8" s="105" t="s">
        <v>937</v>
      </c>
      <c r="C8" s="41">
        <v>0</v>
      </c>
      <c r="D8" s="41">
        <v>0</v>
      </c>
      <c r="E8" s="218">
        <v>0</v>
      </c>
      <c r="F8" s="41">
        <v>0</v>
      </c>
      <c r="G8" s="41">
        <v>410</v>
      </c>
      <c r="H8" s="41">
        <v>0</v>
      </c>
      <c r="I8" s="41">
        <v>0</v>
      </c>
      <c r="J8" s="41">
        <v>0</v>
      </c>
      <c r="K8" s="50">
        <f t="shared" si="0"/>
        <v>410</v>
      </c>
      <c r="M8" s="188"/>
    </row>
    <row r="9" spans="1:15" ht="35.25" customHeight="1" thickBot="1" x14ac:dyDescent="0.3">
      <c r="B9" s="14" t="str">
        <f>"Total net book value at " &amp; TEXT(CurrentYearEnd, "d mmmm yyyy")</f>
        <v>Total net book value at 31 March 2025</v>
      </c>
      <c r="C9" s="42">
        <f t="shared" ref="C9:J9" si="1">SUM(C5:C8)</f>
        <v>13564</v>
      </c>
      <c r="D9" s="42">
        <f t="shared" si="1"/>
        <v>29468.007000000001</v>
      </c>
      <c r="E9" s="290">
        <f t="shared" si="1"/>
        <v>0</v>
      </c>
      <c r="F9" s="42">
        <f t="shared" si="1"/>
        <v>22498</v>
      </c>
      <c r="G9" s="42">
        <f t="shared" si="1"/>
        <v>10018</v>
      </c>
      <c r="H9" s="42">
        <f t="shared" si="1"/>
        <v>32030</v>
      </c>
      <c r="I9" s="42">
        <f t="shared" si="1"/>
        <v>6998</v>
      </c>
      <c r="J9" s="42">
        <f t="shared" si="1"/>
        <v>1758</v>
      </c>
      <c r="K9" s="42">
        <f t="shared" si="0"/>
        <v>116334.007</v>
      </c>
      <c r="M9" s="188"/>
      <c r="N9" s="188"/>
    </row>
    <row r="10" spans="1:15" ht="14.15" customHeight="1" thickTop="1" x14ac:dyDescent="0.25">
      <c r="B10" s="14"/>
      <c r="C10" s="120"/>
      <c r="D10" s="120"/>
      <c r="E10" s="301"/>
      <c r="F10" s="120"/>
      <c r="G10" s="120"/>
      <c r="H10" s="120"/>
      <c r="I10" s="120"/>
      <c r="J10" s="120"/>
      <c r="K10" s="23"/>
      <c r="M10" s="188"/>
      <c r="N10" s="188"/>
    </row>
    <row r="11" spans="1:15" ht="14.15" hidden="1" customHeight="1" x14ac:dyDescent="0.25">
      <c r="B11" s="14"/>
      <c r="C11" s="120"/>
      <c r="D11" s="120"/>
      <c r="E11" s="301"/>
      <c r="F11" s="120"/>
      <c r="G11" s="120"/>
      <c r="H11" s="120"/>
      <c r="I11" s="120"/>
      <c r="J11" s="120"/>
      <c r="K11" s="23"/>
      <c r="M11" s="188"/>
      <c r="N11" s="188"/>
    </row>
    <row r="12" spans="1:15" ht="14.15" customHeight="1" x14ac:dyDescent="0.25">
      <c r="A12" s="31">
        <f>A1+0.1</f>
        <v>14.399999999999999</v>
      </c>
      <c r="B12" s="93" t="str">
        <f>"Note "&amp;A12&amp; " Property, plant and equipment financing - " &amp;TEXT(ComparativeYearEnd,"d mmmm yyyy")</f>
        <v>Note 14.4 Property, plant and equipment financing - 31 March 2024</v>
      </c>
      <c r="M12" s="188"/>
      <c r="N12" s="188"/>
    </row>
    <row r="13" spans="1:15" ht="11.5" x14ac:dyDescent="0.25">
      <c r="B13" s="93"/>
      <c r="M13" s="188"/>
      <c r="N13" s="188"/>
    </row>
    <row r="14" spans="1:15" ht="45" customHeight="1" x14ac:dyDescent="0.25">
      <c r="B14" s="14"/>
      <c r="C14" s="226" t="s">
        <v>663</v>
      </c>
      <c r="D14" s="226" t="s">
        <v>929</v>
      </c>
      <c r="E14" s="311" t="s">
        <v>665</v>
      </c>
      <c r="F14" s="226" t="s">
        <v>930</v>
      </c>
      <c r="G14" s="226" t="s">
        <v>666</v>
      </c>
      <c r="H14" s="226" t="s">
        <v>667</v>
      </c>
      <c r="I14" s="226" t="s">
        <v>668</v>
      </c>
      <c r="J14" s="226" t="s">
        <v>669</v>
      </c>
      <c r="K14" s="226" t="s">
        <v>917</v>
      </c>
      <c r="M14" s="188"/>
      <c r="N14" s="188"/>
    </row>
    <row r="15" spans="1:15" ht="14.15" customHeight="1" x14ac:dyDescent="0.25">
      <c r="B15" s="14"/>
      <c r="C15" s="80" t="s">
        <v>542</v>
      </c>
      <c r="D15" s="80" t="s">
        <v>542</v>
      </c>
      <c r="E15" s="266" t="s">
        <v>542</v>
      </c>
      <c r="F15" s="80" t="s">
        <v>542</v>
      </c>
      <c r="G15" s="80" t="s">
        <v>542</v>
      </c>
      <c r="H15" s="80" t="s">
        <v>542</v>
      </c>
      <c r="I15" s="80" t="s">
        <v>542</v>
      </c>
      <c r="J15" s="80" t="s">
        <v>542</v>
      </c>
      <c r="K15" s="80" t="s">
        <v>542</v>
      </c>
      <c r="M15" s="188"/>
      <c r="N15" s="188"/>
    </row>
    <row r="16" spans="1:15" ht="14.15" customHeight="1" x14ac:dyDescent="0.25">
      <c r="A16" s="1"/>
      <c r="B16" s="105" t="s">
        <v>934</v>
      </c>
      <c r="C16" s="41">
        <v>13800</v>
      </c>
      <c r="D16" s="41">
        <v>27339.007000000001</v>
      </c>
      <c r="E16" s="218">
        <v>0</v>
      </c>
      <c r="F16" s="41">
        <v>15260</v>
      </c>
      <c r="G16" s="41">
        <v>8698</v>
      </c>
      <c r="H16" s="41">
        <v>31380</v>
      </c>
      <c r="I16" s="41">
        <v>10630</v>
      </c>
      <c r="J16" s="41">
        <v>1901</v>
      </c>
      <c r="K16" s="50">
        <f t="shared" ref="K16:K19" si="2">SUM(C16:J16)</f>
        <v>109008.007</v>
      </c>
      <c r="L16" s="183"/>
      <c r="M16" s="188"/>
      <c r="N16" s="188"/>
    </row>
    <row r="17" spans="1:14" s="245" customFormat="1" ht="26.5" hidden="1" customHeight="1" x14ac:dyDescent="0.25">
      <c r="B17" s="216" t="s">
        <v>935</v>
      </c>
      <c r="C17" s="218">
        <v>0</v>
      </c>
      <c r="D17" s="218">
        <v>0</v>
      </c>
      <c r="E17" s="218">
        <v>0</v>
      </c>
      <c r="F17" s="218">
        <v>0</v>
      </c>
      <c r="G17" s="218">
        <v>0</v>
      </c>
      <c r="H17" s="218">
        <v>0</v>
      </c>
      <c r="I17" s="218">
        <v>0</v>
      </c>
      <c r="J17" s="218">
        <v>0</v>
      </c>
      <c r="K17" s="227">
        <f t="shared" si="2"/>
        <v>0</v>
      </c>
      <c r="L17" s="310"/>
      <c r="M17" s="309"/>
      <c r="N17" s="309"/>
    </row>
    <row r="18" spans="1:14" s="245" customFormat="1" ht="14.15" hidden="1" customHeight="1" x14ac:dyDescent="0.25">
      <c r="B18" s="216" t="s">
        <v>936</v>
      </c>
      <c r="C18" s="218">
        <v>0</v>
      </c>
      <c r="D18" s="218">
        <v>0</v>
      </c>
      <c r="E18" s="218">
        <v>0</v>
      </c>
      <c r="F18" s="218">
        <v>0</v>
      </c>
      <c r="G18" s="218">
        <v>0</v>
      </c>
      <c r="H18" s="218">
        <v>0</v>
      </c>
      <c r="I18" s="218">
        <v>0</v>
      </c>
      <c r="J18" s="218">
        <v>0</v>
      </c>
      <c r="K18" s="227">
        <f t="shared" si="2"/>
        <v>0</v>
      </c>
      <c r="L18" s="310"/>
      <c r="M18" s="309"/>
      <c r="N18" s="309"/>
    </row>
    <row r="19" spans="1:14" ht="14.15" customHeight="1" x14ac:dyDescent="0.25">
      <c r="A19" s="1"/>
      <c r="B19" s="105" t="s">
        <v>937</v>
      </c>
      <c r="C19" s="41">
        <v>0</v>
      </c>
      <c r="D19" s="41">
        <v>0</v>
      </c>
      <c r="E19" s="218">
        <v>0</v>
      </c>
      <c r="F19" s="41">
        <v>0</v>
      </c>
      <c r="G19" s="41">
        <v>528</v>
      </c>
      <c r="H19" s="41">
        <v>0</v>
      </c>
      <c r="I19" s="41">
        <v>0</v>
      </c>
      <c r="J19" s="41">
        <v>0</v>
      </c>
      <c r="K19" s="50">
        <f t="shared" si="2"/>
        <v>528</v>
      </c>
      <c r="L19" s="183"/>
      <c r="M19" s="188"/>
      <c r="N19" s="188"/>
    </row>
    <row r="20" spans="1:14" ht="31.5" customHeight="1" thickBot="1" x14ac:dyDescent="0.3">
      <c r="A20" s="1"/>
      <c r="B20" s="14" t="str">
        <f>"Total net book value at " &amp;TEXT(ComparativeYearEnd, "d mmmm yyyy")</f>
        <v>Total net book value at 31 March 2024</v>
      </c>
      <c r="C20" s="42">
        <f t="shared" ref="C20:J20" si="3">SUM(C16:C19)</f>
        <v>13800</v>
      </c>
      <c r="D20" s="42">
        <f t="shared" si="3"/>
        <v>27339.007000000001</v>
      </c>
      <c r="E20" s="290">
        <f t="shared" si="3"/>
        <v>0</v>
      </c>
      <c r="F20" s="42">
        <f t="shared" si="3"/>
        <v>15260</v>
      </c>
      <c r="G20" s="42">
        <f t="shared" si="3"/>
        <v>9226</v>
      </c>
      <c r="H20" s="42">
        <f t="shared" si="3"/>
        <v>31380</v>
      </c>
      <c r="I20" s="42">
        <f t="shared" si="3"/>
        <v>10630</v>
      </c>
      <c r="J20" s="42">
        <f t="shared" si="3"/>
        <v>1901</v>
      </c>
      <c r="K20" s="42">
        <f>SUM(C20:J20)</f>
        <v>109536.007</v>
      </c>
      <c r="L20" s="183"/>
    </row>
    <row r="21" spans="1:14" ht="14.15" customHeight="1" thickTop="1" x14ac:dyDescent="0.25">
      <c r="A21" s="1"/>
      <c r="C21" s="23"/>
      <c r="D21" s="23"/>
      <c r="E21" s="301"/>
      <c r="F21" s="23"/>
      <c r="G21" s="23"/>
      <c r="H21" s="23"/>
      <c r="I21" s="23"/>
      <c r="J21" s="23"/>
      <c r="K21" s="23"/>
    </row>
    <row r="22" spans="1:14" ht="14.15" hidden="1" customHeight="1" x14ac:dyDescent="0.25">
      <c r="A22" s="1"/>
      <c r="C22" s="23"/>
      <c r="D22" s="23"/>
      <c r="E22" s="301"/>
      <c r="F22" s="23"/>
      <c r="G22" s="23"/>
      <c r="H22" s="23"/>
      <c r="I22" s="23"/>
      <c r="J22" s="23"/>
      <c r="K22" s="23"/>
    </row>
    <row r="23" spans="1:14" s="2" customFormat="1" ht="14.15" hidden="1" customHeight="1" x14ac:dyDescent="0.25">
      <c r="A23" s="31">
        <f>A12+0.1</f>
        <v>14.499999999999998</v>
      </c>
      <c r="B23" s="93" t="str">
        <f>"Note " &amp;A23 &amp; " Property plant and equipment assets subject to an operating lease (Trust as a lessor) - " &amp;TEXT(CurrentYearEnd,"d mmmm yyyy")</f>
        <v>Note 14.5 Property plant and equipment assets subject to an operating lease (Trust as a lessor) - 31 March 2025</v>
      </c>
      <c r="C23" s="80"/>
      <c r="D23" s="80"/>
      <c r="E23" s="266"/>
      <c r="F23" s="80"/>
      <c r="G23" s="80"/>
      <c r="H23" s="80"/>
      <c r="I23" s="5"/>
      <c r="J23" s="5"/>
      <c r="K23" s="5"/>
    </row>
    <row r="24" spans="1:14" s="2" customFormat="1" ht="27" hidden="1" customHeight="1" x14ac:dyDescent="0.25">
      <c r="B24" s="480" t="s">
        <v>1477</v>
      </c>
      <c r="C24" s="480"/>
      <c r="D24" s="480"/>
      <c r="E24" s="480"/>
      <c r="F24" s="480"/>
      <c r="G24" s="480"/>
      <c r="H24" s="480"/>
      <c r="I24" s="480"/>
      <c r="J24" s="480"/>
      <c r="K24" s="480"/>
    </row>
    <row r="25" spans="1:14" ht="45" hidden="1" customHeight="1" x14ac:dyDescent="0.25">
      <c r="B25" s="14"/>
      <c r="C25" s="80" t="s">
        <v>663</v>
      </c>
      <c r="D25" s="80" t="s">
        <v>929</v>
      </c>
      <c r="E25" s="266" t="s">
        <v>665</v>
      </c>
      <c r="F25" s="80" t="s">
        <v>930</v>
      </c>
      <c r="G25" s="80" t="s">
        <v>666</v>
      </c>
      <c r="H25" s="80" t="s">
        <v>667</v>
      </c>
      <c r="I25" s="80" t="s">
        <v>668</v>
      </c>
      <c r="J25" s="80" t="s">
        <v>669</v>
      </c>
      <c r="K25" s="80" t="s">
        <v>917</v>
      </c>
      <c r="M25" s="188"/>
      <c r="N25" s="188"/>
    </row>
    <row r="26" spans="1:14" ht="14.15" hidden="1" customHeight="1" x14ac:dyDescent="0.25">
      <c r="B26" s="14"/>
      <c r="C26" s="80" t="s">
        <v>542</v>
      </c>
      <c r="D26" s="80" t="s">
        <v>542</v>
      </c>
      <c r="E26" s="266" t="s">
        <v>542</v>
      </c>
      <c r="F26" s="80" t="s">
        <v>542</v>
      </c>
      <c r="G26" s="80" t="s">
        <v>542</v>
      </c>
      <c r="H26" s="80" t="s">
        <v>542</v>
      </c>
      <c r="I26" s="80" t="s">
        <v>542</v>
      </c>
      <c r="J26" s="80" t="s">
        <v>542</v>
      </c>
      <c r="K26" s="80" t="s">
        <v>542</v>
      </c>
      <c r="M26" s="188"/>
      <c r="N26" s="188"/>
    </row>
    <row r="27" spans="1:14" ht="14.15" hidden="1" customHeight="1" x14ac:dyDescent="0.25">
      <c r="A27" s="1"/>
      <c r="B27" s="105" t="s">
        <v>1478</v>
      </c>
      <c r="C27" s="41"/>
      <c r="D27" s="41"/>
      <c r="E27" s="218"/>
      <c r="F27" s="41"/>
      <c r="G27" s="41"/>
      <c r="H27" s="41"/>
      <c r="I27" s="41"/>
      <c r="J27" s="41"/>
      <c r="K27" s="50">
        <f t="shared" ref="K27" si="4">SUM(C27:J27)</f>
        <v>0</v>
      </c>
      <c r="L27" s="183"/>
      <c r="M27" s="188"/>
      <c r="N27" s="188"/>
    </row>
    <row r="28" spans="1:14" ht="14.15" hidden="1" customHeight="1" x14ac:dyDescent="0.25">
      <c r="A28" s="1"/>
      <c r="B28" s="105" t="s">
        <v>1479</v>
      </c>
      <c r="C28" s="41"/>
      <c r="D28" s="41"/>
      <c r="E28" s="218"/>
      <c r="F28" s="41"/>
      <c r="G28" s="41"/>
      <c r="H28" s="41"/>
      <c r="I28" s="41"/>
      <c r="J28" s="41"/>
      <c r="K28" s="50">
        <f>SUM(C28:J28)</f>
        <v>0</v>
      </c>
      <c r="L28" s="183"/>
      <c r="M28" s="188"/>
      <c r="N28" s="188"/>
    </row>
    <row r="29" spans="1:14" ht="14.15" hidden="1" customHeight="1" thickBot="1" x14ac:dyDescent="0.3">
      <c r="A29" s="1"/>
      <c r="B29" s="93" t="str">
        <f>"Total net book value at " &amp;TEXT(CurrentYearEnd, "d mmmm yyyy")</f>
        <v>Total net book value at 31 March 2025</v>
      </c>
      <c r="C29" s="42">
        <f t="shared" ref="C29:J29" si="5">SUM(C27:C28)</f>
        <v>0</v>
      </c>
      <c r="D29" s="42">
        <f t="shared" si="5"/>
        <v>0</v>
      </c>
      <c r="E29" s="290">
        <f t="shared" si="5"/>
        <v>0</v>
      </c>
      <c r="F29" s="42">
        <f>SUM(F27:F28)</f>
        <v>0</v>
      </c>
      <c r="G29" s="42">
        <f t="shared" si="5"/>
        <v>0</v>
      </c>
      <c r="H29" s="42">
        <f t="shared" si="5"/>
        <v>0</v>
      </c>
      <c r="I29" s="42">
        <f t="shared" si="5"/>
        <v>0</v>
      </c>
      <c r="J29" s="42">
        <f t="shared" si="5"/>
        <v>0</v>
      </c>
      <c r="K29" s="42">
        <f>SUM(C29:J29)</f>
        <v>0</v>
      </c>
      <c r="L29" s="183"/>
    </row>
    <row r="30" spans="1:14" ht="14.15" hidden="1" customHeight="1" thickTop="1" x14ac:dyDescent="0.25">
      <c r="A30" s="1"/>
    </row>
    <row r="31" spans="1:14" ht="14.15" hidden="1" customHeight="1" x14ac:dyDescent="0.25">
      <c r="A31" s="1"/>
    </row>
    <row r="32" spans="1:14" s="2" customFormat="1" ht="14.15" hidden="1" customHeight="1" x14ac:dyDescent="0.25">
      <c r="A32" s="31">
        <f>A23+0.1</f>
        <v>14.599999999999998</v>
      </c>
      <c r="B32" s="93" t="str">
        <f>"Note " &amp;A32 &amp; " Property plant and equipment assets subject to an operating lease (Trust as a lessor) - " &amp;TEXT(ComparativeYearEnd,"d mmmm yyyy")</f>
        <v>Note 14.6 Property plant and equipment assets subject to an operating lease (Trust as a lessor) - 31 March 2024</v>
      </c>
      <c r="C32" s="80"/>
      <c r="D32" s="80"/>
      <c r="E32" s="266"/>
      <c r="F32" s="80"/>
      <c r="G32" s="80"/>
      <c r="H32" s="80"/>
      <c r="I32" s="5"/>
      <c r="J32" s="5"/>
      <c r="K32" s="5"/>
    </row>
    <row r="33" spans="1:14" s="2" customFormat="1" ht="27" hidden="1" customHeight="1" x14ac:dyDescent="0.25">
      <c r="B33" s="480" t="s">
        <v>1477</v>
      </c>
      <c r="C33" s="480"/>
      <c r="D33" s="480"/>
      <c r="E33" s="480"/>
      <c r="F33" s="480"/>
      <c r="G33" s="480"/>
      <c r="H33" s="480"/>
      <c r="I33" s="480"/>
      <c r="J33" s="480"/>
      <c r="K33" s="480"/>
    </row>
    <row r="34" spans="1:14" ht="45" hidden="1" customHeight="1" x14ac:dyDescent="0.25">
      <c r="B34" s="14"/>
      <c r="C34" s="80" t="s">
        <v>663</v>
      </c>
      <c r="D34" s="80" t="s">
        <v>929</v>
      </c>
      <c r="E34" s="266" t="s">
        <v>665</v>
      </c>
      <c r="F34" s="80" t="s">
        <v>930</v>
      </c>
      <c r="G34" s="80" t="s">
        <v>666</v>
      </c>
      <c r="H34" s="80" t="s">
        <v>667</v>
      </c>
      <c r="I34" s="80" t="s">
        <v>668</v>
      </c>
      <c r="J34" s="80" t="s">
        <v>669</v>
      </c>
      <c r="K34" s="80" t="s">
        <v>917</v>
      </c>
      <c r="M34" s="188"/>
      <c r="N34" s="188"/>
    </row>
    <row r="35" spans="1:14" ht="14.15" hidden="1" customHeight="1" x14ac:dyDescent="0.25">
      <c r="B35" s="14"/>
      <c r="C35" s="80" t="s">
        <v>542</v>
      </c>
      <c r="D35" s="80" t="s">
        <v>542</v>
      </c>
      <c r="E35" s="266" t="s">
        <v>542</v>
      </c>
      <c r="F35" s="80" t="s">
        <v>542</v>
      </c>
      <c r="G35" s="80" t="s">
        <v>542</v>
      </c>
      <c r="H35" s="80" t="s">
        <v>542</v>
      </c>
      <c r="I35" s="80" t="s">
        <v>542</v>
      </c>
      <c r="J35" s="80" t="s">
        <v>542</v>
      </c>
      <c r="K35" s="80" t="s">
        <v>542</v>
      </c>
      <c r="M35" s="188"/>
      <c r="N35" s="188"/>
    </row>
    <row r="36" spans="1:14" ht="14.15" hidden="1" customHeight="1" x14ac:dyDescent="0.25">
      <c r="A36" s="1"/>
      <c r="B36" s="105" t="s">
        <v>1478</v>
      </c>
      <c r="C36" s="41"/>
      <c r="D36" s="41"/>
      <c r="E36" s="218"/>
      <c r="F36" s="41"/>
      <c r="G36" s="41"/>
      <c r="H36" s="41"/>
      <c r="I36" s="41"/>
      <c r="J36" s="41"/>
      <c r="K36" s="50">
        <f t="shared" ref="K36" si="6">SUM(C36:J36)</f>
        <v>0</v>
      </c>
      <c r="L36" s="183"/>
      <c r="M36" s="188"/>
      <c r="N36" s="188"/>
    </row>
    <row r="37" spans="1:14" ht="14.15" hidden="1" customHeight="1" x14ac:dyDescent="0.25">
      <c r="A37" s="1"/>
      <c r="B37" s="105" t="s">
        <v>1479</v>
      </c>
      <c r="C37" s="41"/>
      <c r="D37" s="41"/>
      <c r="E37" s="218"/>
      <c r="F37" s="41"/>
      <c r="G37" s="41"/>
      <c r="H37" s="41"/>
      <c r="I37" s="41"/>
      <c r="J37" s="41"/>
      <c r="K37" s="50">
        <f>SUM(C37:J37)</f>
        <v>0</v>
      </c>
      <c r="L37" s="183"/>
      <c r="M37" s="188"/>
      <c r="N37" s="188"/>
    </row>
    <row r="38" spans="1:14" ht="14.15" hidden="1" customHeight="1" thickBot="1" x14ac:dyDescent="0.3">
      <c r="A38" s="1"/>
      <c r="B38" s="93" t="str">
        <f>"Total net book value at " &amp;TEXT(ComparativeYearEnd, "d mmmm yyyy")</f>
        <v>Total net book value at 31 March 2024</v>
      </c>
      <c r="C38" s="42">
        <f t="shared" ref="C38:I38" si="7">SUM(C36:C37)</f>
        <v>0</v>
      </c>
      <c r="D38" s="42">
        <f t="shared" si="7"/>
        <v>0</v>
      </c>
      <c r="E38" s="290">
        <f t="shared" si="7"/>
        <v>0</v>
      </c>
      <c r="F38" s="42">
        <f t="shared" si="7"/>
        <v>0</v>
      </c>
      <c r="G38" s="42">
        <f t="shared" si="7"/>
        <v>0</v>
      </c>
      <c r="H38" s="42">
        <f t="shared" si="7"/>
        <v>0</v>
      </c>
      <c r="I38" s="42">
        <f t="shared" si="7"/>
        <v>0</v>
      </c>
      <c r="J38" s="42">
        <f>SUM(J36:J37)</f>
        <v>0</v>
      </c>
      <c r="K38" s="42">
        <f>SUM(C38:J38)</f>
        <v>0</v>
      </c>
      <c r="L38" s="183"/>
    </row>
    <row r="39" spans="1:14" ht="14.15" hidden="1" customHeight="1" thickTop="1" x14ac:dyDescent="0.25">
      <c r="A39" s="1"/>
    </row>
    <row r="40" spans="1:14" ht="14.15" hidden="1" customHeight="1" x14ac:dyDescent="0.25">
      <c r="A40" s="1"/>
    </row>
    <row r="41" spans="1:14" ht="14.15" customHeight="1" x14ac:dyDescent="0.25">
      <c r="A41" s="1">
        <f>A1+0.1</f>
        <v>14.399999999999999</v>
      </c>
      <c r="B41" s="93" t="str">
        <f>"Note " &amp;A41&amp; " Revaluations of property, plant and equipment"</f>
        <v>Note 14.4 Revaluations of property, plant and equipment</v>
      </c>
      <c r="C41" s="273"/>
      <c r="D41" s="273"/>
      <c r="E41" s="312"/>
      <c r="F41" s="273"/>
      <c r="G41" s="273"/>
      <c r="H41" s="273"/>
      <c r="I41" s="273"/>
      <c r="J41" s="273"/>
      <c r="K41" s="273"/>
    </row>
    <row r="42" spans="1:14" s="245" customFormat="1" ht="56.25" hidden="1" customHeight="1" x14ac:dyDescent="0.25">
      <c r="B42" s="481" t="s">
        <v>1658</v>
      </c>
      <c r="C42" s="481"/>
      <c r="D42" s="481"/>
      <c r="E42" s="481"/>
      <c r="F42" s="481"/>
      <c r="G42" s="481"/>
      <c r="H42" s="481"/>
      <c r="I42" s="481"/>
      <c r="J42" s="481"/>
      <c r="K42" s="481"/>
    </row>
    <row r="43" spans="1:14" ht="33" customHeight="1" x14ac:dyDescent="0.25">
      <c r="A43" s="1"/>
      <c r="B43" s="460" t="s">
        <v>1659</v>
      </c>
      <c r="C43" s="460"/>
      <c r="D43" s="460"/>
      <c r="E43" s="460"/>
      <c r="F43" s="460"/>
      <c r="G43" s="460"/>
      <c r="H43" s="460"/>
      <c r="I43" s="460"/>
      <c r="J43" s="460"/>
      <c r="K43" s="460"/>
    </row>
    <row r="44" spans="1:14" ht="106.5" customHeight="1" x14ac:dyDescent="0.25">
      <c r="A44" s="1"/>
      <c r="B44" s="460" t="s">
        <v>1754</v>
      </c>
      <c r="C44" s="460"/>
      <c r="D44" s="460"/>
      <c r="E44" s="460"/>
      <c r="F44" s="460"/>
      <c r="G44" s="460"/>
      <c r="H44" s="460"/>
      <c r="I44" s="460"/>
      <c r="J44" s="460"/>
      <c r="K44" s="460"/>
    </row>
    <row r="45" spans="1:14" ht="29.25" customHeight="1" x14ac:dyDescent="0.25">
      <c r="A45" s="1"/>
      <c r="B45" s="460" t="s">
        <v>1660</v>
      </c>
      <c r="C45" s="460"/>
      <c r="D45" s="460"/>
      <c r="E45" s="460"/>
      <c r="F45" s="460"/>
      <c r="G45" s="460"/>
      <c r="H45" s="460"/>
      <c r="I45" s="460"/>
      <c r="J45" s="460"/>
      <c r="K45" s="460"/>
    </row>
    <row r="46" spans="1:14" ht="14.15" customHeight="1" x14ac:dyDescent="0.25">
      <c r="A46" s="1"/>
      <c r="B46" s="390" t="s">
        <v>1661</v>
      </c>
      <c r="C46" s="111"/>
      <c r="D46" s="111"/>
      <c r="E46" s="1"/>
    </row>
    <row r="47" spans="1:14" ht="14.15" customHeight="1" x14ac:dyDescent="0.25">
      <c r="A47" s="1"/>
      <c r="B47" s="391" t="s">
        <v>1662</v>
      </c>
      <c r="C47" s="111"/>
      <c r="D47" s="111"/>
      <c r="E47" s="1"/>
    </row>
    <row r="48" spans="1:14" ht="14.15" customHeight="1" x14ac:dyDescent="0.25">
      <c r="A48" s="1"/>
      <c r="B48" s="391" t="s">
        <v>1663</v>
      </c>
      <c r="C48" s="111"/>
      <c r="D48" s="111"/>
      <c r="E48" s="1"/>
    </row>
    <row r="49" spans="1:11" ht="14.15" customHeight="1" x14ac:dyDescent="0.25">
      <c r="A49" s="1"/>
      <c r="B49" s="391" t="s">
        <v>1664</v>
      </c>
      <c r="C49" s="111"/>
      <c r="D49" s="111"/>
      <c r="E49" s="1"/>
    </row>
    <row r="50" spans="1:11" ht="14.15" customHeight="1" x14ac:dyDescent="0.25">
      <c r="A50" s="1"/>
      <c r="B50" s="391" t="s">
        <v>1665</v>
      </c>
      <c r="C50" s="111"/>
      <c r="D50" s="111"/>
      <c r="E50" s="1"/>
    </row>
    <row r="51" spans="1:11" ht="4.5" customHeight="1" x14ac:dyDescent="0.25">
      <c r="A51" s="1"/>
      <c r="B51" s="391"/>
      <c r="C51" s="111"/>
      <c r="D51" s="111"/>
      <c r="E51" s="1"/>
    </row>
    <row r="52" spans="1:11" ht="14.15" customHeight="1" x14ac:dyDescent="0.25">
      <c r="A52" s="1"/>
      <c r="B52" s="391" t="s">
        <v>1666</v>
      </c>
      <c r="C52" s="111"/>
      <c r="D52" s="111"/>
      <c r="E52" s="1"/>
    </row>
    <row r="53" spans="1:11" ht="14.15" hidden="1" customHeight="1" x14ac:dyDescent="0.25">
      <c r="A53" s="1"/>
      <c r="B53" s="479" t="s">
        <v>1667</v>
      </c>
      <c r="C53" s="479"/>
      <c r="D53" s="479"/>
      <c r="E53" s="479"/>
      <c r="F53" s="479"/>
      <c r="G53" s="479"/>
      <c r="H53" s="479"/>
      <c r="I53" s="479"/>
      <c r="J53" s="479"/>
      <c r="K53" s="479"/>
    </row>
    <row r="54" spans="1:11" ht="14.15" customHeight="1" x14ac:dyDescent="0.25">
      <c r="A54" s="1"/>
      <c r="B54" s="391" t="s">
        <v>1668</v>
      </c>
      <c r="C54" s="111"/>
      <c r="D54" s="111"/>
      <c r="E54" s="1"/>
    </row>
    <row r="55" spans="1:11" ht="6.75" customHeight="1" x14ac:dyDescent="0.25">
      <c r="A55" s="1"/>
      <c r="B55" s="391"/>
      <c r="C55" s="111"/>
      <c r="D55" s="111"/>
      <c r="E55" s="1"/>
    </row>
    <row r="56" spans="1:11" ht="14.15" customHeight="1" x14ac:dyDescent="0.25">
      <c r="A56" s="1"/>
      <c r="B56" s="460" t="s">
        <v>1669</v>
      </c>
      <c r="C56" s="460"/>
      <c r="D56" s="460"/>
      <c r="E56" s="460"/>
      <c r="F56" s="460"/>
      <c r="G56" s="460"/>
      <c r="H56" s="460"/>
      <c r="I56" s="460"/>
      <c r="J56" s="460"/>
      <c r="K56" s="460"/>
    </row>
    <row r="57" spans="1:11" ht="6.75" customHeight="1" x14ac:dyDescent="0.25">
      <c r="A57" s="1"/>
      <c r="B57" s="273"/>
      <c r="C57" s="273"/>
      <c r="D57" s="273"/>
      <c r="E57" s="312"/>
      <c r="F57" s="273"/>
      <c r="G57" s="273"/>
      <c r="H57" s="273"/>
      <c r="I57" s="273"/>
      <c r="J57" s="273"/>
      <c r="K57" s="273"/>
    </row>
    <row r="58" spans="1:11" ht="26.25" customHeight="1" x14ac:dyDescent="0.3">
      <c r="A58" s="1"/>
      <c r="B58" s="273"/>
      <c r="C58" s="313" t="s">
        <v>1670</v>
      </c>
      <c r="D58" s="314" t="s">
        <v>1671</v>
      </c>
      <c r="E58" s="312"/>
      <c r="F58" s="273"/>
      <c r="G58" s="273"/>
      <c r="H58" s="273"/>
      <c r="I58" s="273"/>
      <c r="J58" s="273"/>
      <c r="K58" s="273"/>
    </row>
    <row r="59" spans="1:11" ht="14.15" customHeight="1" x14ac:dyDescent="0.25">
      <c r="A59" s="1"/>
      <c r="B59" s="315" t="s">
        <v>1672</v>
      </c>
      <c r="C59" s="379">
        <v>6</v>
      </c>
      <c r="D59" s="380">
        <v>69</v>
      </c>
      <c r="E59" s="312"/>
      <c r="F59" s="273"/>
      <c r="G59" s="273"/>
      <c r="H59" s="273"/>
      <c r="I59" s="273"/>
      <c r="J59" s="273"/>
      <c r="K59" s="273"/>
    </row>
    <row r="60" spans="1:11" ht="14.15" customHeight="1" x14ac:dyDescent="0.25">
      <c r="A60" s="1"/>
      <c r="B60" s="315" t="s">
        <v>1673</v>
      </c>
      <c r="C60" s="379">
        <v>5</v>
      </c>
      <c r="D60" s="380">
        <v>25</v>
      </c>
      <c r="E60" s="312"/>
      <c r="F60" s="273"/>
      <c r="G60" s="273"/>
      <c r="H60" s="273"/>
      <c r="I60" s="273"/>
      <c r="J60" s="273"/>
      <c r="K60" s="273"/>
    </row>
    <row r="61" spans="1:11" ht="14.15" customHeight="1" x14ac:dyDescent="0.25">
      <c r="A61" s="1"/>
      <c r="B61" s="315" t="s">
        <v>1674</v>
      </c>
      <c r="C61" s="379">
        <v>5</v>
      </c>
      <c r="D61" s="380">
        <v>14</v>
      </c>
      <c r="E61" s="312"/>
      <c r="F61" s="273"/>
      <c r="G61" s="273"/>
      <c r="H61" s="273"/>
      <c r="I61" s="273"/>
      <c r="J61" s="273"/>
      <c r="K61" s="273"/>
    </row>
    <row r="62" spans="1:11" ht="14.15" customHeight="1" x14ac:dyDescent="0.25">
      <c r="A62" s="1"/>
      <c r="B62" s="315" t="s">
        <v>1675</v>
      </c>
      <c r="C62" s="379">
        <v>4</v>
      </c>
      <c r="D62" s="380">
        <v>14</v>
      </c>
      <c r="E62" s="312"/>
      <c r="F62" s="273"/>
      <c r="G62" s="273"/>
      <c r="H62" s="273"/>
      <c r="I62" s="273"/>
      <c r="J62" s="273"/>
      <c r="K62" s="273"/>
    </row>
    <row r="63" spans="1:11" ht="14.15" customHeight="1" x14ac:dyDescent="0.25">
      <c r="A63" s="1"/>
      <c r="B63" s="315" t="s">
        <v>1676</v>
      </c>
      <c r="C63" s="379">
        <v>2</v>
      </c>
      <c r="D63" s="380">
        <v>20</v>
      </c>
      <c r="E63" s="312"/>
      <c r="F63" s="273"/>
      <c r="G63" s="273"/>
      <c r="H63" s="273"/>
      <c r="I63" s="273"/>
      <c r="J63" s="273"/>
      <c r="K63" s="273"/>
    </row>
    <row r="64" spans="1:11" ht="14.15" customHeight="1" x14ac:dyDescent="0.25">
      <c r="A64" s="1"/>
    </row>
    <row r="65" spans="1:1" ht="14.15" customHeight="1" x14ac:dyDescent="0.25">
      <c r="A65" s="1"/>
    </row>
    <row r="66" spans="1:1" ht="14.15" customHeight="1" x14ac:dyDescent="0.25">
      <c r="A66" s="1"/>
    </row>
    <row r="67" spans="1:1" ht="14.15" customHeight="1" x14ac:dyDescent="0.25">
      <c r="A67" s="1"/>
    </row>
    <row r="68" spans="1:1" ht="14.15" customHeight="1" x14ac:dyDescent="0.25">
      <c r="A68" s="1"/>
    </row>
    <row r="69" spans="1:1" ht="14.15" customHeight="1" x14ac:dyDescent="0.25">
      <c r="A69" s="1"/>
    </row>
    <row r="70" spans="1:1" ht="14.15" customHeight="1" x14ac:dyDescent="0.25">
      <c r="A70" s="1"/>
    </row>
    <row r="71" spans="1:1" ht="14.15" customHeight="1" x14ac:dyDescent="0.25">
      <c r="A71" s="1"/>
    </row>
    <row r="72" spans="1:1" ht="14.15" customHeight="1" x14ac:dyDescent="0.25">
      <c r="A72" s="1"/>
    </row>
    <row r="73" spans="1:1" ht="14.15" customHeight="1" x14ac:dyDescent="0.25">
      <c r="A73" s="1"/>
    </row>
    <row r="74" spans="1:1" ht="14.15" customHeight="1" x14ac:dyDescent="0.25">
      <c r="A74" s="1"/>
    </row>
    <row r="75" spans="1:1" ht="14.15" customHeight="1" x14ac:dyDescent="0.25">
      <c r="A75" s="1"/>
    </row>
    <row r="76" spans="1:1" ht="14.15" customHeight="1" x14ac:dyDescent="0.25">
      <c r="A76" s="1"/>
    </row>
    <row r="77" spans="1:1" ht="14.15" customHeight="1" x14ac:dyDescent="0.25">
      <c r="A77" s="1"/>
    </row>
    <row r="78" spans="1:1" ht="14.15" customHeight="1" x14ac:dyDescent="0.25">
      <c r="A78" s="1"/>
    </row>
    <row r="79" spans="1:1" ht="14.15" customHeight="1" x14ac:dyDescent="0.25">
      <c r="A79" s="1"/>
    </row>
    <row r="80" spans="1:1" ht="14.15" customHeight="1" x14ac:dyDescent="0.25">
      <c r="A80" s="1"/>
    </row>
    <row r="81" spans="1:1" ht="14.15" customHeight="1" x14ac:dyDescent="0.25">
      <c r="A81" s="1"/>
    </row>
    <row r="82" spans="1:1" ht="14.15" customHeight="1" x14ac:dyDescent="0.25">
      <c r="A82" s="1"/>
    </row>
    <row r="83" spans="1:1" ht="14.15" customHeight="1" x14ac:dyDescent="0.25">
      <c r="A83" s="1"/>
    </row>
    <row r="84" spans="1:1" ht="14.15" customHeight="1" x14ac:dyDescent="0.25">
      <c r="A84" s="1"/>
    </row>
    <row r="85" spans="1:1" ht="14.15" customHeight="1" x14ac:dyDescent="0.25">
      <c r="A85" s="1"/>
    </row>
    <row r="86" spans="1:1" ht="14.15" customHeight="1" x14ac:dyDescent="0.25">
      <c r="A86" s="1"/>
    </row>
    <row r="87" spans="1:1" ht="14.15" customHeight="1" x14ac:dyDescent="0.25">
      <c r="A87" s="1"/>
    </row>
  </sheetData>
  <mergeCells count="8">
    <mergeCell ref="B45:K45"/>
    <mergeCell ref="B53:K53"/>
    <mergeCell ref="B56:K56"/>
    <mergeCell ref="B24:K24"/>
    <mergeCell ref="B33:K33"/>
    <mergeCell ref="B42:K42"/>
    <mergeCell ref="B43:K43"/>
    <mergeCell ref="B44:K44"/>
  </mergeCells>
  <pageMargins left="0.59055118110236227" right="0.59055118110236227" top="0.59055118110236227" bottom="0.59055118110236227" header="0" footer="0"/>
  <pageSetup paperSize="9" scale="88" orientation="portrait" r:id="rId1"/>
  <headerFoot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F0700-C1E8-415F-886A-F6815A588063}">
  <sheetPr codeName="Sheet57">
    <tabColor rgb="FF92D050"/>
    <pageSetUpPr fitToPage="1"/>
  </sheetPr>
  <dimension ref="A1:S69"/>
  <sheetViews>
    <sheetView workbookViewId="0"/>
  </sheetViews>
  <sheetFormatPr defaultColWidth="9.1796875" defaultRowHeight="11.5" x14ac:dyDescent="0.25"/>
  <cols>
    <col min="1" max="1" width="1" style="2" customWidth="1"/>
    <col min="2" max="2" width="49.453125" style="9" customWidth="1"/>
    <col min="3" max="3" width="9.7265625" style="2" customWidth="1"/>
    <col min="4" max="4" width="9.7265625" style="220" hidden="1" customWidth="1"/>
    <col min="5" max="5" width="9.7265625" style="2" customWidth="1"/>
    <col min="6" max="8" width="9.7265625" style="220" hidden="1" customWidth="1"/>
    <col min="9" max="9" width="11" style="2" customWidth="1"/>
    <col min="10" max="10" width="0.54296875" style="2" customWidth="1"/>
    <col min="11" max="11" width="11.1796875" style="2" customWidth="1"/>
    <col min="12" max="12" width="9" style="2" customWidth="1"/>
    <col min="13" max="16384" width="9.1796875" style="2"/>
  </cols>
  <sheetData>
    <row r="1" spans="1:19" x14ac:dyDescent="0.25">
      <c r="A1" s="2">
        <f>ROUNDDOWN('14 PPE 2'!A41,0)+1.1</f>
        <v>15.1</v>
      </c>
      <c r="B1" s="93" t="str">
        <f>"Note " &amp;A1 &amp; " Right of use assets - " &amp; CurrentFY</f>
        <v>Note 15.1 Right of use assets - 2024/25</v>
      </c>
      <c r="C1" s="80"/>
      <c r="D1" s="266"/>
      <c r="E1" s="80"/>
      <c r="F1" s="266"/>
      <c r="G1" s="266"/>
      <c r="H1" s="266"/>
      <c r="I1" s="5"/>
      <c r="J1" s="5"/>
      <c r="K1" s="5"/>
    </row>
    <row r="2" spans="1:19" ht="50.25" customHeight="1" x14ac:dyDescent="0.25">
      <c r="B2" s="14"/>
      <c r="C2" s="226" t="s">
        <v>1340</v>
      </c>
      <c r="D2" s="311" t="s">
        <v>666</v>
      </c>
      <c r="E2" s="226" t="s">
        <v>667</v>
      </c>
      <c r="F2" s="311" t="s">
        <v>668</v>
      </c>
      <c r="G2" s="311" t="s">
        <v>669</v>
      </c>
      <c r="H2" s="311" t="s">
        <v>505</v>
      </c>
      <c r="I2" s="226" t="s">
        <v>541</v>
      </c>
      <c r="J2" s="226"/>
      <c r="K2" s="226" t="s">
        <v>1374</v>
      </c>
      <c r="S2" s="100"/>
    </row>
    <row r="3" spans="1:19" x14ac:dyDescent="0.25">
      <c r="B3" s="14"/>
      <c r="C3" s="80" t="s">
        <v>542</v>
      </c>
      <c r="D3" s="266" t="s">
        <v>542</v>
      </c>
      <c r="E3" s="80" t="s">
        <v>542</v>
      </c>
      <c r="F3" s="266" t="s">
        <v>542</v>
      </c>
      <c r="G3" s="266" t="s">
        <v>542</v>
      </c>
      <c r="H3" s="266" t="s">
        <v>542</v>
      </c>
      <c r="I3" s="80" t="s">
        <v>542</v>
      </c>
      <c r="J3" s="80"/>
      <c r="K3" s="80" t="s">
        <v>542</v>
      </c>
    </row>
    <row r="4" spans="1:19" x14ac:dyDescent="0.25">
      <c r="B4" s="14" t="str">
        <f>"Valuation / gross cost at "&amp;TEXT(CurrentYearStart,"d mmmm yyyy")&amp;" - brought forward"</f>
        <v>Valuation / gross cost at 1 April 2024 - brought forward</v>
      </c>
      <c r="C4" s="50">
        <f>C50</f>
        <v>19818</v>
      </c>
      <c r="D4" s="227">
        <f t="shared" ref="D4:H4" si="0">D50</f>
        <v>0</v>
      </c>
      <c r="E4" s="50">
        <f t="shared" si="0"/>
        <v>7939</v>
      </c>
      <c r="F4" s="227">
        <f t="shared" si="0"/>
        <v>0</v>
      </c>
      <c r="G4" s="227">
        <f t="shared" si="0"/>
        <v>0</v>
      </c>
      <c r="H4" s="227">
        <f t="shared" si="0"/>
        <v>0</v>
      </c>
      <c r="I4" s="50">
        <f>SUM(C4:H4)</f>
        <v>27757</v>
      </c>
      <c r="J4" s="50"/>
      <c r="K4" s="50">
        <f t="shared" ref="K4" si="1">K50</f>
        <v>3549</v>
      </c>
    </row>
    <row r="5" spans="1:19" ht="13.5" hidden="1" customHeight="1" x14ac:dyDescent="0.25">
      <c r="B5" s="14" t="s">
        <v>944</v>
      </c>
      <c r="C5" s="50">
        <v>0</v>
      </c>
      <c r="D5" s="227">
        <v>0</v>
      </c>
      <c r="E5" s="50">
        <v>0</v>
      </c>
      <c r="F5" s="227">
        <v>0</v>
      </c>
      <c r="G5" s="227">
        <v>0</v>
      </c>
      <c r="H5" s="227">
        <v>0</v>
      </c>
      <c r="I5" s="50">
        <f t="shared" ref="I5:I14" si="2">SUM(C5:H5)</f>
        <v>0</v>
      </c>
      <c r="J5" s="50"/>
      <c r="K5" s="50">
        <v>0</v>
      </c>
      <c r="N5" s="166" t="s">
        <v>544</v>
      </c>
    </row>
    <row r="6" spans="1:19" s="220" customFormat="1" ht="13.5" hidden="1" customHeight="1" x14ac:dyDescent="0.25">
      <c r="B6" s="216" t="s">
        <v>927</v>
      </c>
      <c r="C6" s="218">
        <v>0</v>
      </c>
      <c r="D6" s="218">
        <v>0</v>
      </c>
      <c r="E6" s="218">
        <v>0</v>
      </c>
      <c r="F6" s="218">
        <v>0</v>
      </c>
      <c r="G6" s="218">
        <v>0</v>
      </c>
      <c r="H6" s="218">
        <v>0</v>
      </c>
      <c r="I6" s="227">
        <f t="shared" si="2"/>
        <v>0</v>
      </c>
      <c r="J6" s="227"/>
      <c r="K6" s="218">
        <v>0</v>
      </c>
    </row>
    <row r="7" spans="1:19" ht="13.5" customHeight="1" x14ac:dyDescent="0.25">
      <c r="B7" s="105" t="s">
        <v>920</v>
      </c>
      <c r="C7" s="41">
        <v>1010</v>
      </c>
      <c r="D7" s="218">
        <v>0</v>
      </c>
      <c r="E7" s="41">
        <v>2257</v>
      </c>
      <c r="F7" s="218">
        <v>0</v>
      </c>
      <c r="G7" s="218">
        <v>0</v>
      </c>
      <c r="H7" s="218">
        <v>0</v>
      </c>
      <c r="I7" s="50">
        <f t="shared" si="2"/>
        <v>3267</v>
      </c>
      <c r="J7" s="50"/>
      <c r="K7" s="41">
        <v>725</v>
      </c>
    </row>
    <row r="8" spans="1:19" ht="13.5" customHeight="1" x14ac:dyDescent="0.25">
      <c r="B8" s="105" t="s">
        <v>1324</v>
      </c>
      <c r="C8" s="41">
        <v>1766</v>
      </c>
      <c r="D8" s="218">
        <v>0</v>
      </c>
      <c r="E8" s="41">
        <v>2063</v>
      </c>
      <c r="F8" s="218">
        <v>0</v>
      </c>
      <c r="G8" s="218">
        <v>0</v>
      </c>
      <c r="H8" s="218">
        <v>0</v>
      </c>
      <c r="I8" s="50">
        <f t="shared" si="2"/>
        <v>3829</v>
      </c>
      <c r="J8" s="50"/>
      <c r="K8" s="41">
        <v>505</v>
      </c>
    </row>
    <row r="9" spans="1:19" s="220" customFormat="1" ht="13.5" hidden="1" customHeight="1" x14ac:dyDescent="0.25">
      <c r="B9" s="216" t="s">
        <v>1375</v>
      </c>
      <c r="C9" s="218">
        <v>0</v>
      </c>
      <c r="D9" s="218">
        <v>0</v>
      </c>
      <c r="E9" s="218">
        <v>0</v>
      </c>
      <c r="F9" s="218">
        <v>0</v>
      </c>
      <c r="G9" s="218">
        <v>0</v>
      </c>
      <c r="H9" s="218">
        <v>0</v>
      </c>
      <c r="I9" s="227">
        <f t="shared" si="2"/>
        <v>0</v>
      </c>
      <c r="J9" s="227"/>
      <c r="K9" s="218">
        <v>0</v>
      </c>
    </row>
    <row r="10" spans="1:19" s="220" customFormat="1" ht="13.5" hidden="1" customHeight="1" x14ac:dyDescent="0.25">
      <c r="B10" s="216" t="s">
        <v>549</v>
      </c>
      <c r="C10" s="218">
        <v>0</v>
      </c>
      <c r="D10" s="218">
        <v>0</v>
      </c>
      <c r="E10" s="218">
        <v>0</v>
      </c>
      <c r="F10" s="218">
        <v>0</v>
      </c>
      <c r="G10" s="218">
        <v>0</v>
      </c>
      <c r="H10" s="218">
        <v>0</v>
      </c>
      <c r="I10" s="227">
        <f t="shared" si="2"/>
        <v>0</v>
      </c>
      <c r="J10" s="227"/>
      <c r="K10" s="218">
        <v>0</v>
      </c>
    </row>
    <row r="11" spans="1:19" s="220" customFormat="1" ht="13.5" hidden="1" customHeight="1" x14ac:dyDescent="0.25">
      <c r="B11" s="216" t="s">
        <v>1366</v>
      </c>
      <c r="C11" s="218">
        <v>0</v>
      </c>
      <c r="D11" s="218">
        <v>0</v>
      </c>
      <c r="E11" s="218">
        <v>0</v>
      </c>
      <c r="F11" s="218">
        <v>0</v>
      </c>
      <c r="G11" s="218">
        <v>0</v>
      </c>
      <c r="H11" s="218">
        <v>0</v>
      </c>
      <c r="I11" s="227">
        <f t="shared" si="2"/>
        <v>0</v>
      </c>
      <c r="J11" s="227"/>
      <c r="K11" s="218">
        <v>0</v>
      </c>
    </row>
    <row r="12" spans="1:19" s="220" customFormat="1" ht="13.5" hidden="1" customHeight="1" x14ac:dyDescent="0.25">
      <c r="B12" s="216" t="s">
        <v>922</v>
      </c>
      <c r="C12" s="218">
        <v>0</v>
      </c>
      <c r="D12" s="218">
        <v>0</v>
      </c>
      <c r="E12" s="218">
        <v>0</v>
      </c>
      <c r="F12" s="218">
        <v>0</v>
      </c>
      <c r="G12" s="218">
        <v>0</v>
      </c>
      <c r="H12" s="218">
        <v>0</v>
      </c>
      <c r="I12" s="227">
        <f t="shared" si="2"/>
        <v>0</v>
      </c>
      <c r="J12" s="227"/>
      <c r="K12" s="218">
        <v>0</v>
      </c>
    </row>
    <row r="13" spans="1:19" s="220" customFormat="1" ht="13.5" hidden="1" customHeight="1" x14ac:dyDescent="0.25">
      <c r="B13" s="216" t="s">
        <v>1339</v>
      </c>
      <c r="C13" s="218">
        <v>0</v>
      </c>
      <c r="D13" s="218">
        <v>0</v>
      </c>
      <c r="E13" s="218">
        <v>0</v>
      </c>
      <c r="F13" s="218">
        <v>0</v>
      </c>
      <c r="G13" s="218">
        <v>0</v>
      </c>
      <c r="H13" s="218">
        <v>0</v>
      </c>
      <c r="I13" s="227">
        <f t="shared" si="2"/>
        <v>0</v>
      </c>
      <c r="J13" s="227"/>
      <c r="K13" s="218">
        <v>0</v>
      </c>
    </row>
    <row r="14" spans="1:19" ht="13.5" customHeight="1" x14ac:dyDescent="0.25">
      <c r="B14" s="105" t="s">
        <v>925</v>
      </c>
      <c r="C14" s="41">
        <v>-1484</v>
      </c>
      <c r="D14" s="218">
        <v>0</v>
      </c>
      <c r="E14" s="41">
        <v>-252</v>
      </c>
      <c r="F14" s="218">
        <v>0</v>
      </c>
      <c r="G14" s="218">
        <v>0</v>
      </c>
      <c r="H14" s="218">
        <v>0</v>
      </c>
      <c r="I14" s="50">
        <f t="shared" si="2"/>
        <v>-1736</v>
      </c>
      <c r="J14" s="50"/>
      <c r="K14" s="41">
        <v>-778</v>
      </c>
    </row>
    <row r="15" spans="1:19" ht="13.5" customHeight="1" thickBot="1" x14ac:dyDescent="0.3">
      <c r="B15" s="14" t="str">
        <f>"Valuation/gross cost at "&amp;TEXT(CurrentYearEnd, "DD MMMM YYYY")</f>
        <v>Valuation/gross cost at 31 March 2025</v>
      </c>
      <c r="C15" s="42">
        <f>SUM(C4:C14)</f>
        <v>21110</v>
      </c>
      <c r="D15" s="290">
        <f t="shared" ref="D15:H15" si="3">SUM(D4:D14)</f>
        <v>0</v>
      </c>
      <c r="E15" s="42">
        <f t="shared" si="3"/>
        <v>12007</v>
      </c>
      <c r="F15" s="290">
        <f t="shared" si="3"/>
        <v>0</v>
      </c>
      <c r="G15" s="290">
        <f t="shared" si="3"/>
        <v>0</v>
      </c>
      <c r="H15" s="290">
        <f t="shared" si="3"/>
        <v>0</v>
      </c>
      <c r="I15" s="42">
        <f>SUM(I4:I14)</f>
        <v>33117</v>
      </c>
      <c r="J15" s="88"/>
      <c r="K15" s="42">
        <f t="shared" ref="K15" si="4">SUM(K4:K14)</f>
        <v>4001</v>
      </c>
    </row>
    <row r="16" spans="1:19" ht="13.5" customHeight="1" thickTop="1" x14ac:dyDescent="0.25"/>
    <row r="17" spans="2:14" ht="24.75" customHeight="1" x14ac:dyDescent="0.25">
      <c r="B17" s="14" t="str">
        <f>"Accumulated depreciation at "&amp;TEXT(CurrentYearStart,"d mmmm yyyy")&amp;" - brought forward"</f>
        <v>Accumulated depreciation at 1 April 2024 - brought forward</v>
      </c>
      <c r="C17" s="50">
        <f>C63</f>
        <v>3384</v>
      </c>
      <c r="D17" s="227">
        <f t="shared" ref="D17:H17" si="5">D63</f>
        <v>0</v>
      </c>
      <c r="E17" s="50">
        <f t="shared" si="5"/>
        <v>3250</v>
      </c>
      <c r="F17" s="227">
        <f t="shared" si="5"/>
        <v>0</v>
      </c>
      <c r="G17" s="227">
        <f t="shared" si="5"/>
        <v>0</v>
      </c>
      <c r="H17" s="227">
        <f t="shared" si="5"/>
        <v>0</v>
      </c>
      <c r="I17" s="50">
        <f t="shared" ref="I17:I25" si="6">SUM(C17:H17)</f>
        <v>6634</v>
      </c>
      <c r="J17" s="50"/>
      <c r="K17" s="50">
        <f t="shared" ref="K17" si="7">K63</f>
        <v>751</v>
      </c>
    </row>
    <row r="18" spans="2:14" ht="13.5" hidden="1" customHeight="1" x14ac:dyDescent="0.25">
      <c r="B18" s="14" t="s">
        <v>944</v>
      </c>
      <c r="C18" s="50">
        <v>0</v>
      </c>
      <c r="D18" s="227">
        <v>0</v>
      </c>
      <c r="E18" s="50">
        <v>0</v>
      </c>
      <c r="F18" s="227">
        <v>0</v>
      </c>
      <c r="G18" s="227">
        <v>0</v>
      </c>
      <c r="H18" s="227">
        <v>0</v>
      </c>
      <c r="I18" s="50">
        <f t="shared" si="6"/>
        <v>0</v>
      </c>
      <c r="J18" s="50"/>
      <c r="K18" s="50">
        <v>0</v>
      </c>
      <c r="N18" s="166" t="s">
        <v>544</v>
      </c>
    </row>
    <row r="19" spans="2:14" s="220" customFormat="1" ht="13.5" hidden="1" customHeight="1" x14ac:dyDescent="0.25">
      <c r="B19" s="216" t="s">
        <v>927</v>
      </c>
      <c r="C19" s="218">
        <v>0</v>
      </c>
      <c r="D19" s="218">
        <v>0</v>
      </c>
      <c r="E19" s="218">
        <v>0</v>
      </c>
      <c r="F19" s="218">
        <v>0</v>
      </c>
      <c r="G19" s="218">
        <v>0</v>
      </c>
      <c r="H19" s="218">
        <v>0</v>
      </c>
      <c r="I19" s="227">
        <f t="shared" si="6"/>
        <v>0</v>
      </c>
      <c r="J19" s="227"/>
      <c r="K19" s="218">
        <v>0</v>
      </c>
    </row>
    <row r="20" spans="2:14" ht="13.5" customHeight="1" x14ac:dyDescent="0.25">
      <c r="B20" s="105" t="s">
        <v>1367</v>
      </c>
      <c r="C20" s="41">
        <v>1972</v>
      </c>
      <c r="D20" s="218">
        <v>0</v>
      </c>
      <c r="E20" s="41">
        <v>2148</v>
      </c>
      <c r="F20" s="218">
        <v>0</v>
      </c>
      <c r="G20" s="218">
        <v>0</v>
      </c>
      <c r="H20" s="218">
        <v>0</v>
      </c>
      <c r="I20" s="50">
        <f t="shared" si="6"/>
        <v>4120</v>
      </c>
      <c r="J20" s="50"/>
      <c r="K20" s="41">
        <v>603</v>
      </c>
    </row>
    <row r="21" spans="2:14" s="220" customFormat="1" ht="13.5" hidden="1" customHeight="1" x14ac:dyDescent="0.25">
      <c r="B21" s="216" t="s">
        <v>549</v>
      </c>
      <c r="C21" s="218">
        <v>0</v>
      </c>
      <c r="D21" s="218">
        <v>0</v>
      </c>
      <c r="E21" s="218">
        <v>0</v>
      </c>
      <c r="F21" s="218">
        <v>0</v>
      </c>
      <c r="G21" s="218">
        <v>0</v>
      </c>
      <c r="H21" s="218">
        <v>0</v>
      </c>
      <c r="I21" s="227">
        <f t="shared" si="6"/>
        <v>0</v>
      </c>
      <c r="J21" s="227"/>
      <c r="K21" s="218">
        <v>0</v>
      </c>
    </row>
    <row r="22" spans="2:14" s="220" customFormat="1" ht="13.5" hidden="1" customHeight="1" x14ac:dyDescent="0.25">
      <c r="B22" s="216" t="s">
        <v>1366</v>
      </c>
      <c r="C22" s="218">
        <v>0</v>
      </c>
      <c r="D22" s="218">
        <v>0</v>
      </c>
      <c r="E22" s="218">
        <v>0</v>
      </c>
      <c r="F22" s="218">
        <v>0</v>
      </c>
      <c r="G22" s="218">
        <v>0</v>
      </c>
      <c r="H22" s="218">
        <v>0</v>
      </c>
      <c r="I22" s="227">
        <f t="shared" si="6"/>
        <v>0</v>
      </c>
      <c r="J22" s="227"/>
      <c r="K22" s="218">
        <v>0</v>
      </c>
    </row>
    <row r="23" spans="2:14" s="220" customFormat="1" ht="13.5" hidden="1" customHeight="1" x14ac:dyDescent="0.25">
      <c r="B23" s="216" t="s">
        <v>922</v>
      </c>
      <c r="C23" s="218">
        <v>0</v>
      </c>
      <c r="D23" s="218">
        <v>0</v>
      </c>
      <c r="E23" s="218">
        <v>0</v>
      </c>
      <c r="F23" s="218">
        <v>0</v>
      </c>
      <c r="G23" s="218">
        <v>0</v>
      </c>
      <c r="H23" s="218">
        <v>0</v>
      </c>
      <c r="I23" s="227">
        <f t="shared" si="6"/>
        <v>0</v>
      </c>
      <c r="J23" s="227"/>
      <c r="K23" s="218">
        <v>0</v>
      </c>
    </row>
    <row r="24" spans="2:14" s="220" customFormat="1" ht="13.5" hidden="1" customHeight="1" x14ac:dyDescent="0.25">
      <c r="B24" s="216" t="s">
        <v>1339</v>
      </c>
      <c r="C24" s="218">
        <v>0</v>
      </c>
      <c r="D24" s="218">
        <v>0</v>
      </c>
      <c r="E24" s="218">
        <v>0</v>
      </c>
      <c r="F24" s="218">
        <v>0</v>
      </c>
      <c r="G24" s="218">
        <v>0</v>
      </c>
      <c r="H24" s="218">
        <v>0</v>
      </c>
      <c r="I24" s="227">
        <f t="shared" si="6"/>
        <v>0</v>
      </c>
      <c r="J24" s="227"/>
      <c r="K24" s="218">
        <v>0</v>
      </c>
    </row>
    <row r="25" spans="2:14" ht="13.5" customHeight="1" x14ac:dyDescent="0.25">
      <c r="B25" s="105" t="s">
        <v>925</v>
      </c>
      <c r="C25" s="41">
        <v>-667</v>
      </c>
      <c r="D25" s="218">
        <v>0</v>
      </c>
      <c r="E25" s="41">
        <v>-212</v>
      </c>
      <c r="F25" s="218">
        <v>0</v>
      </c>
      <c r="G25" s="218">
        <v>0</v>
      </c>
      <c r="H25" s="218">
        <v>0</v>
      </c>
      <c r="I25" s="50">
        <f t="shared" si="6"/>
        <v>-879</v>
      </c>
      <c r="J25" s="50"/>
      <c r="K25" s="41">
        <v>-415</v>
      </c>
    </row>
    <row r="26" spans="2:14" ht="13.5" customHeight="1" thickBot="1" x14ac:dyDescent="0.3">
      <c r="B26" s="14" t="str">
        <f>"Accumulated depreciation at "&amp;TEXT(CurrentYearEnd, "DD MMMM YYYY")</f>
        <v>Accumulated depreciation at 31 March 2025</v>
      </c>
      <c r="C26" s="42">
        <f>SUM(C17:C25)</f>
        <v>4689</v>
      </c>
      <c r="D26" s="290">
        <f t="shared" ref="D26:H26" si="8">SUM(D17:D25)</f>
        <v>0</v>
      </c>
      <c r="E26" s="42">
        <f t="shared" si="8"/>
        <v>5186</v>
      </c>
      <c r="F26" s="290">
        <f t="shared" si="8"/>
        <v>0</v>
      </c>
      <c r="G26" s="290">
        <f t="shared" si="8"/>
        <v>0</v>
      </c>
      <c r="H26" s="290">
        <f t="shared" si="8"/>
        <v>0</v>
      </c>
      <c r="I26" s="42">
        <f>SUM(I17:I25)</f>
        <v>9875</v>
      </c>
      <c r="J26" s="88"/>
      <c r="K26" s="42">
        <f t="shared" ref="K26" si="9">SUM(K17:K25)</f>
        <v>939</v>
      </c>
    </row>
    <row r="27" spans="2:14" ht="13.5" customHeight="1" thickTop="1" x14ac:dyDescent="0.25"/>
    <row r="28" spans="2:14" ht="13.5" customHeight="1" x14ac:dyDescent="0.25">
      <c r="B28" s="14" t="str">
        <f>"Net book value at "&amp;TEXT(CurrentYearEnd, "DD MMMM YYYY")</f>
        <v>Net book value at 31 March 2025</v>
      </c>
      <c r="C28" s="50">
        <f t="shared" ref="C28:I28" si="10">C15-C26</f>
        <v>16421</v>
      </c>
      <c r="D28" s="227">
        <f t="shared" si="10"/>
        <v>0</v>
      </c>
      <c r="E28" s="50">
        <f t="shared" si="10"/>
        <v>6821</v>
      </c>
      <c r="F28" s="227">
        <f t="shared" si="10"/>
        <v>0</v>
      </c>
      <c r="G28" s="227">
        <f t="shared" si="10"/>
        <v>0</v>
      </c>
      <c r="H28" s="227">
        <f t="shared" si="10"/>
        <v>0</v>
      </c>
      <c r="I28" s="50">
        <f t="shared" si="10"/>
        <v>23242</v>
      </c>
      <c r="J28" s="50"/>
      <c r="K28" s="50">
        <f>K15-K26</f>
        <v>3062</v>
      </c>
    </row>
    <row r="29" spans="2:14" ht="13.5" customHeight="1" x14ac:dyDescent="0.25">
      <c r="B29" s="14" t="str">
        <f>"Net book value at "&amp; TEXT(CurrentYearStart,"d mmmm yyyy")</f>
        <v>Net book value at 1 April 2024</v>
      </c>
      <c r="C29" s="50">
        <f>C4-C17</f>
        <v>16434</v>
      </c>
      <c r="D29" s="227">
        <f t="shared" ref="D29:K29" si="11">D4-D17</f>
        <v>0</v>
      </c>
      <c r="E29" s="50">
        <f t="shared" si="11"/>
        <v>4689</v>
      </c>
      <c r="F29" s="227">
        <f t="shared" si="11"/>
        <v>0</v>
      </c>
      <c r="G29" s="227">
        <f t="shared" si="11"/>
        <v>0</v>
      </c>
      <c r="H29" s="227">
        <f t="shared" si="11"/>
        <v>0</v>
      </c>
      <c r="I29" s="50">
        <f t="shared" si="11"/>
        <v>21123</v>
      </c>
      <c r="J29" s="50"/>
      <c r="K29" s="50">
        <f t="shared" si="11"/>
        <v>2798</v>
      </c>
    </row>
    <row r="30" spans="2:14" ht="10.5" customHeight="1" x14ac:dyDescent="0.25"/>
    <row r="31" spans="2:14" ht="13.5" customHeight="1" x14ac:dyDescent="0.25">
      <c r="B31" s="2" t="s">
        <v>1431</v>
      </c>
      <c r="K31" s="41">
        <v>465</v>
      </c>
    </row>
    <row r="32" spans="2:14" ht="13.5" customHeight="1" x14ac:dyDescent="0.25">
      <c r="B32" s="2" t="s">
        <v>1432</v>
      </c>
      <c r="K32" s="41">
        <v>2597</v>
      </c>
    </row>
    <row r="33" spans="1:14" ht="13.5" customHeight="1" x14ac:dyDescent="0.25"/>
    <row r="34" spans="1:14" ht="13.5" customHeight="1" x14ac:dyDescent="0.25">
      <c r="A34" s="2">
        <f>A1+0.1</f>
        <v>15.2</v>
      </c>
      <c r="B34" s="93" t="str">
        <f>"Note " &amp;A34 &amp; " Right of use assets - " &amp; ComparativeFY</f>
        <v>Note 15.2 Right of use assets - 2023/24</v>
      </c>
    </row>
    <row r="35" spans="1:14" ht="46" x14ac:dyDescent="0.25">
      <c r="B35" s="14"/>
      <c r="C35" s="226" t="s">
        <v>1340</v>
      </c>
      <c r="D35" s="311" t="s">
        <v>666</v>
      </c>
      <c r="E35" s="226" t="s">
        <v>667</v>
      </c>
      <c r="F35" s="311" t="s">
        <v>668</v>
      </c>
      <c r="G35" s="311" t="s">
        <v>669</v>
      </c>
      <c r="H35" s="311" t="s">
        <v>505</v>
      </c>
      <c r="I35" s="226" t="s">
        <v>541</v>
      </c>
      <c r="J35" s="226"/>
      <c r="K35" s="226" t="s">
        <v>1374</v>
      </c>
    </row>
    <row r="36" spans="1:14" x14ac:dyDescent="0.25">
      <c r="B36" s="14"/>
      <c r="C36" s="80" t="s">
        <v>542</v>
      </c>
      <c r="D36" s="266" t="s">
        <v>542</v>
      </c>
      <c r="E36" s="80" t="s">
        <v>542</v>
      </c>
      <c r="F36" s="266" t="s">
        <v>542</v>
      </c>
      <c r="G36" s="266" t="s">
        <v>542</v>
      </c>
      <c r="H36" s="266" t="s">
        <v>542</v>
      </c>
      <c r="I36" s="80" t="s">
        <v>542</v>
      </c>
      <c r="J36" s="80"/>
      <c r="K36" s="80" t="s">
        <v>542</v>
      </c>
    </row>
    <row r="37" spans="1:14" x14ac:dyDescent="0.25">
      <c r="B37" s="14" t="str">
        <f>"Valuation / gross cost at "&amp;TEXT(ComparativeYearStart,"d mmmm yyyy")&amp;" - brought forward"</f>
        <v>Valuation / gross cost at 1 April 2023 - brought forward</v>
      </c>
      <c r="C37" s="50">
        <v>19737</v>
      </c>
      <c r="D37" s="227">
        <v>0</v>
      </c>
      <c r="E37" s="50">
        <v>5189</v>
      </c>
      <c r="F37" s="227">
        <v>0</v>
      </c>
      <c r="G37" s="227">
        <v>0</v>
      </c>
      <c r="H37" s="227">
        <v>0</v>
      </c>
      <c r="I37" s="50">
        <f>SUM(C37:H37)</f>
        <v>24926</v>
      </c>
      <c r="J37" s="50"/>
      <c r="K37" s="50">
        <v>3363</v>
      </c>
    </row>
    <row r="38" spans="1:14" s="220" customFormat="1" ht="13.5" hidden="1" customHeight="1" x14ac:dyDescent="0.25">
      <c r="B38" s="216" t="s">
        <v>500</v>
      </c>
      <c r="C38" s="218">
        <v>0</v>
      </c>
      <c r="D38" s="218">
        <v>0</v>
      </c>
      <c r="E38" s="218">
        <v>0</v>
      </c>
      <c r="F38" s="218">
        <v>0</v>
      </c>
      <c r="G38" s="218">
        <v>0</v>
      </c>
      <c r="H38" s="218">
        <v>0</v>
      </c>
      <c r="I38" s="227">
        <f>SUM(C38:H38)</f>
        <v>0</v>
      </c>
      <c r="J38" s="227"/>
      <c r="K38" s="218">
        <v>0</v>
      </c>
    </row>
    <row r="39" spans="1:14" s="220" customFormat="1" ht="13.5" hidden="1" customHeight="1" x14ac:dyDescent="0.25">
      <c r="B39" s="255" t="str">
        <f>"Valuation / gross cost at " &amp; TEXT(ComparativeYearStart, "d mmmm yyyy") &amp; " - restated"</f>
        <v>Valuation / gross cost at 1 April 2023 - restated</v>
      </c>
      <c r="C39" s="222">
        <f>SUM(C37:C38)</f>
        <v>19737</v>
      </c>
      <c r="D39" s="222">
        <f t="shared" ref="D39:H39" si="12">SUM(D37:D38)</f>
        <v>0</v>
      </c>
      <c r="E39" s="222">
        <f t="shared" si="12"/>
        <v>5189</v>
      </c>
      <c r="F39" s="222">
        <f t="shared" si="12"/>
        <v>0</v>
      </c>
      <c r="G39" s="222">
        <f t="shared" si="12"/>
        <v>0</v>
      </c>
      <c r="H39" s="222">
        <f t="shared" si="12"/>
        <v>0</v>
      </c>
      <c r="I39" s="222">
        <f t="shared" ref="I39" si="13">SUM(I37:I38)</f>
        <v>24926</v>
      </c>
      <c r="J39" s="227"/>
      <c r="K39" s="222">
        <f>SUM(K37:K38)</f>
        <v>3363</v>
      </c>
    </row>
    <row r="40" spans="1:14" s="220" customFormat="1" ht="13.5" hidden="1" customHeight="1" x14ac:dyDescent="0.25">
      <c r="B40" s="255" t="s">
        <v>944</v>
      </c>
      <c r="C40" s="227">
        <v>0</v>
      </c>
      <c r="D40" s="227">
        <v>0</v>
      </c>
      <c r="E40" s="227">
        <v>0</v>
      </c>
      <c r="F40" s="227">
        <v>0</v>
      </c>
      <c r="G40" s="227">
        <v>0</v>
      </c>
      <c r="H40" s="227">
        <v>0</v>
      </c>
      <c r="I40" s="227">
        <f t="shared" ref="I40:I49" si="14">SUM(C40:H40)</f>
        <v>0</v>
      </c>
      <c r="J40" s="227"/>
      <c r="K40" s="227">
        <v>0</v>
      </c>
      <c r="N40" s="245" t="s">
        <v>544</v>
      </c>
    </row>
    <row r="41" spans="1:14" s="220" customFormat="1" ht="13.5" hidden="1" customHeight="1" x14ac:dyDescent="0.25">
      <c r="B41" s="216" t="s">
        <v>927</v>
      </c>
      <c r="C41" s="218">
        <v>0</v>
      </c>
      <c r="D41" s="218">
        <v>0</v>
      </c>
      <c r="E41" s="218">
        <v>0</v>
      </c>
      <c r="F41" s="218">
        <v>0</v>
      </c>
      <c r="G41" s="218">
        <v>0</v>
      </c>
      <c r="H41" s="218">
        <v>0</v>
      </c>
      <c r="I41" s="227">
        <f t="shared" si="14"/>
        <v>0</v>
      </c>
      <c r="J41" s="227"/>
      <c r="K41" s="218">
        <v>0</v>
      </c>
    </row>
    <row r="42" spans="1:14" ht="13.5" customHeight="1" x14ac:dyDescent="0.25">
      <c r="B42" s="105" t="s">
        <v>920</v>
      </c>
      <c r="C42" s="41">
        <v>227</v>
      </c>
      <c r="D42" s="218">
        <v>0</v>
      </c>
      <c r="E42" s="41">
        <v>2750</v>
      </c>
      <c r="F42" s="218">
        <v>0</v>
      </c>
      <c r="G42" s="218">
        <v>0</v>
      </c>
      <c r="H42" s="218">
        <v>0</v>
      </c>
      <c r="I42" s="50">
        <f t="shared" si="14"/>
        <v>2977</v>
      </c>
      <c r="J42" s="50"/>
      <c r="K42" s="41">
        <v>105</v>
      </c>
    </row>
    <row r="43" spans="1:14" ht="13.5" customHeight="1" x14ac:dyDescent="0.25">
      <c r="B43" s="105" t="s">
        <v>1324</v>
      </c>
      <c r="C43" s="41">
        <v>593</v>
      </c>
      <c r="D43" s="218">
        <v>0</v>
      </c>
      <c r="E43" s="41">
        <v>0</v>
      </c>
      <c r="F43" s="218">
        <v>0</v>
      </c>
      <c r="G43" s="218">
        <v>0</v>
      </c>
      <c r="H43" s="218">
        <v>0</v>
      </c>
      <c r="I43" s="50">
        <f t="shared" si="14"/>
        <v>593</v>
      </c>
      <c r="J43" s="50"/>
      <c r="K43" s="41">
        <v>255</v>
      </c>
    </row>
    <row r="44" spans="1:14" s="220" customFormat="1" ht="13.5" hidden="1" customHeight="1" x14ac:dyDescent="0.25">
      <c r="B44" s="216" t="s">
        <v>1375</v>
      </c>
      <c r="C44" s="218">
        <v>0</v>
      </c>
      <c r="D44" s="218">
        <v>0</v>
      </c>
      <c r="E44" s="218">
        <v>0</v>
      </c>
      <c r="F44" s="218">
        <v>0</v>
      </c>
      <c r="G44" s="218">
        <v>0</v>
      </c>
      <c r="H44" s="218">
        <v>0</v>
      </c>
      <c r="I44" s="227">
        <f t="shared" si="14"/>
        <v>0</v>
      </c>
      <c r="J44" s="227"/>
      <c r="K44" s="218">
        <v>0</v>
      </c>
    </row>
    <row r="45" spans="1:14" s="220" customFormat="1" ht="13.5" hidden="1" customHeight="1" x14ac:dyDescent="0.25">
      <c r="B45" s="216" t="s">
        <v>549</v>
      </c>
      <c r="C45" s="218">
        <v>0</v>
      </c>
      <c r="D45" s="218">
        <v>0</v>
      </c>
      <c r="E45" s="218">
        <v>0</v>
      </c>
      <c r="F45" s="218">
        <v>0</v>
      </c>
      <c r="G45" s="218">
        <v>0</v>
      </c>
      <c r="H45" s="218">
        <v>0</v>
      </c>
      <c r="I45" s="227">
        <f t="shared" si="14"/>
        <v>0</v>
      </c>
      <c r="J45" s="227"/>
      <c r="K45" s="218">
        <v>0</v>
      </c>
    </row>
    <row r="46" spans="1:14" s="220" customFormat="1" ht="13.5" hidden="1" customHeight="1" x14ac:dyDescent="0.25">
      <c r="B46" s="216" t="s">
        <v>1366</v>
      </c>
      <c r="C46" s="218">
        <v>0</v>
      </c>
      <c r="D46" s="218">
        <v>0</v>
      </c>
      <c r="E46" s="218">
        <v>0</v>
      </c>
      <c r="F46" s="218">
        <v>0</v>
      </c>
      <c r="G46" s="218">
        <v>0</v>
      </c>
      <c r="H46" s="218">
        <v>0</v>
      </c>
      <c r="I46" s="227">
        <f t="shared" si="14"/>
        <v>0</v>
      </c>
      <c r="J46" s="227"/>
      <c r="K46" s="218">
        <v>0</v>
      </c>
    </row>
    <row r="47" spans="1:14" s="220" customFormat="1" ht="13.5" hidden="1" customHeight="1" x14ac:dyDescent="0.25">
      <c r="B47" s="216" t="s">
        <v>922</v>
      </c>
      <c r="C47" s="218">
        <v>0</v>
      </c>
      <c r="D47" s="218">
        <v>0</v>
      </c>
      <c r="E47" s="218">
        <v>0</v>
      </c>
      <c r="F47" s="218">
        <v>0</v>
      </c>
      <c r="G47" s="218">
        <v>0</v>
      </c>
      <c r="H47" s="218">
        <v>0</v>
      </c>
      <c r="I47" s="227">
        <f t="shared" si="14"/>
        <v>0</v>
      </c>
      <c r="J47" s="227"/>
      <c r="K47" s="218">
        <v>0</v>
      </c>
    </row>
    <row r="48" spans="1:14" s="220" customFormat="1" ht="13.5" hidden="1" customHeight="1" x14ac:dyDescent="0.25">
      <c r="B48" s="216" t="s">
        <v>1339</v>
      </c>
      <c r="C48" s="218">
        <v>0</v>
      </c>
      <c r="D48" s="218">
        <v>0</v>
      </c>
      <c r="E48" s="218">
        <v>0</v>
      </c>
      <c r="F48" s="218">
        <v>0</v>
      </c>
      <c r="G48" s="218">
        <v>0</v>
      </c>
      <c r="H48" s="218">
        <v>0</v>
      </c>
      <c r="I48" s="227">
        <f t="shared" si="14"/>
        <v>0</v>
      </c>
      <c r="J48" s="227"/>
      <c r="K48" s="218">
        <v>0</v>
      </c>
    </row>
    <row r="49" spans="2:14" ht="13.5" customHeight="1" x14ac:dyDescent="0.25">
      <c r="B49" s="105" t="s">
        <v>925</v>
      </c>
      <c r="C49" s="41">
        <v>-739</v>
      </c>
      <c r="D49" s="218">
        <v>0</v>
      </c>
      <c r="E49" s="41">
        <v>0</v>
      </c>
      <c r="F49" s="218">
        <v>0</v>
      </c>
      <c r="G49" s="218">
        <v>0</v>
      </c>
      <c r="H49" s="218">
        <v>0</v>
      </c>
      <c r="I49" s="50">
        <f t="shared" si="14"/>
        <v>-739</v>
      </c>
      <c r="J49" s="50"/>
      <c r="K49" s="41">
        <v>-174</v>
      </c>
    </row>
    <row r="50" spans="2:14" ht="13.5" customHeight="1" thickBot="1" x14ac:dyDescent="0.3">
      <c r="B50" s="14" t="str">
        <f>"Valuation/gross cost at "&amp;TEXT(ComparativeYearEnd, "DD MMMM YYYY")</f>
        <v>Valuation/gross cost at 31 March 2024</v>
      </c>
      <c r="C50" s="42">
        <f t="shared" ref="C50:I50" si="15">SUM(C39:C49)</f>
        <v>19818</v>
      </c>
      <c r="D50" s="290">
        <f t="shared" si="15"/>
        <v>0</v>
      </c>
      <c r="E50" s="42">
        <f t="shared" si="15"/>
        <v>7939</v>
      </c>
      <c r="F50" s="290">
        <f t="shared" si="15"/>
        <v>0</v>
      </c>
      <c r="G50" s="290">
        <f t="shared" si="15"/>
        <v>0</v>
      </c>
      <c r="H50" s="290">
        <f t="shared" si="15"/>
        <v>0</v>
      </c>
      <c r="I50" s="42">
        <f t="shared" si="15"/>
        <v>27757</v>
      </c>
      <c r="J50" s="88"/>
      <c r="K50" s="42">
        <f>SUM(K39:K49)</f>
        <v>3549</v>
      </c>
    </row>
    <row r="51" spans="2:14" ht="13.5" customHeight="1" thickTop="1" x14ac:dyDescent="0.25"/>
    <row r="52" spans="2:14" ht="13.5" customHeight="1" x14ac:dyDescent="0.25">
      <c r="B52" s="14" t="str">
        <f>"Accumulated depreciation at "&amp;TEXT(ComparativeYearStart,"d mmmm yyyy")&amp;" - brought forward"</f>
        <v>Accumulated depreciation at 1 April 2023 - brought forward</v>
      </c>
      <c r="C52" s="41">
        <v>1697</v>
      </c>
      <c r="D52" s="218">
        <v>0</v>
      </c>
      <c r="E52" s="41">
        <v>1536</v>
      </c>
      <c r="F52" s="218">
        <v>0</v>
      </c>
      <c r="G52" s="218">
        <v>0</v>
      </c>
      <c r="H52" s="218">
        <v>0</v>
      </c>
      <c r="I52" s="50">
        <f>SUM(C52:H52)</f>
        <v>3233</v>
      </c>
      <c r="J52" s="50"/>
      <c r="K52" s="41">
        <v>373</v>
      </c>
    </row>
    <row r="53" spans="2:14" s="220" customFormat="1" ht="13.5" hidden="1" customHeight="1" x14ac:dyDescent="0.25">
      <c r="B53" s="216" t="s">
        <v>500</v>
      </c>
      <c r="C53" s="218">
        <v>0</v>
      </c>
      <c r="D53" s="218">
        <v>0</v>
      </c>
      <c r="E53" s="218">
        <v>0</v>
      </c>
      <c r="F53" s="218">
        <v>0</v>
      </c>
      <c r="G53" s="218">
        <v>0</v>
      </c>
      <c r="H53" s="218">
        <v>0</v>
      </c>
      <c r="I53" s="227">
        <f t="shared" ref="I53:I62" si="16">SUM(C53:H53)</f>
        <v>0</v>
      </c>
      <c r="J53" s="227"/>
      <c r="K53" s="218">
        <v>0</v>
      </c>
    </row>
    <row r="54" spans="2:14" s="220" customFormat="1" ht="12.75" hidden="1" customHeight="1" x14ac:dyDescent="0.25">
      <c r="B54" s="255" t="str">
        <f>"Accumulated depreciation at " &amp; TEXT(ComparativeYearStart, "d mmmm yyyy") &amp; " - restated"</f>
        <v>Accumulated depreciation at 1 April 2023 - restated</v>
      </c>
      <c r="C54" s="222">
        <f>SUM(C52:C53)</f>
        <v>1697</v>
      </c>
      <c r="D54" s="222">
        <f t="shared" ref="D54:H54" si="17">SUM(D52:D53)</f>
        <v>0</v>
      </c>
      <c r="E54" s="222">
        <f t="shared" si="17"/>
        <v>1536</v>
      </c>
      <c r="F54" s="222">
        <f t="shared" si="17"/>
        <v>0</v>
      </c>
      <c r="G54" s="222">
        <f t="shared" si="17"/>
        <v>0</v>
      </c>
      <c r="H54" s="222">
        <f t="shared" si="17"/>
        <v>0</v>
      </c>
      <c r="I54" s="222">
        <f t="shared" ref="I54" si="18">SUM(I52:I53)</f>
        <v>3233</v>
      </c>
      <c r="J54" s="227"/>
      <c r="K54" s="222">
        <f t="shared" ref="K54" si="19">SUM(K52:K53)</f>
        <v>373</v>
      </c>
    </row>
    <row r="55" spans="2:14" s="220" customFormat="1" ht="13.5" hidden="1" customHeight="1" x14ac:dyDescent="0.25">
      <c r="B55" s="255" t="s">
        <v>944</v>
      </c>
      <c r="C55" s="227">
        <v>0</v>
      </c>
      <c r="D55" s="227">
        <v>0</v>
      </c>
      <c r="E55" s="227">
        <v>0</v>
      </c>
      <c r="F55" s="227">
        <v>0</v>
      </c>
      <c r="G55" s="227">
        <v>0</v>
      </c>
      <c r="H55" s="227">
        <v>0</v>
      </c>
      <c r="I55" s="227">
        <f t="shared" si="16"/>
        <v>0</v>
      </c>
      <c r="J55" s="227"/>
      <c r="K55" s="227">
        <v>0</v>
      </c>
      <c r="N55" s="245" t="s">
        <v>544</v>
      </c>
    </row>
    <row r="56" spans="2:14" s="220" customFormat="1" ht="13.5" hidden="1" customHeight="1" x14ac:dyDescent="0.25">
      <c r="B56" s="216" t="s">
        <v>927</v>
      </c>
      <c r="C56" s="218">
        <v>0</v>
      </c>
      <c r="D56" s="218">
        <v>0</v>
      </c>
      <c r="E56" s="218">
        <v>0</v>
      </c>
      <c r="F56" s="218">
        <v>0</v>
      </c>
      <c r="G56" s="218">
        <v>0</v>
      </c>
      <c r="H56" s="218">
        <v>0</v>
      </c>
      <c r="I56" s="227">
        <f t="shared" si="16"/>
        <v>0</v>
      </c>
      <c r="J56" s="227"/>
      <c r="K56" s="218">
        <v>0</v>
      </c>
    </row>
    <row r="57" spans="2:14" ht="13.5" customHeight="1" x14ac:dyDescent="0.25">
      <c r="B57" s="105" t="s">
        <v>1367</v>
      </c>
      <c r="C57" s="41">
        <v>1741</v>
      </c>
      <c r="D57" s="218">
        <v>0</v>
      </c>
      <c r="E57" s="41">
        <v>1714</v>
      </c>
      <c r="F57" s="218">
        <v>0</v>
      </c>
      <c r="G57" s="218">
        <v>0</v>
      </c>
      <c r="H57" s="218">
        <v>0</v>
      </c>
      <c r="I57" s="50">
        <f t="shared" si="16"/>
        <v>3455</v>
      </c>
      <c r="J57" s="50"/>
      <c r="K57" s="41">
        <v>389</v>
      </c>
    </row>
    <row r="58" spans="2:14" s="220" customFormat="1" ht="13.5" hidden="1" customHeight="1" x14ac:dyDescent="0.25">
      <c r="B58" s="216" t="s">
        <v>549</v>
      </c>
      <c r="C58" s="218">
        <v>0</v>
      </c>
      <c r="D58" s="218">
        <v>0</v>
      </c>
      <c r="E58" s="218">
        <v>0</v>
      </c>
      <c r="F58" s="218">
        <v>0</v>
      </c>
      <c r="G58" s="218">
        <v>0</v>
      </c>
      <c r="H58" s="218">
        <v>0</v>
      </c>
      <c r="I58" s="227">
        <f t="shared" si="16"/>
        <v>0</v>
      </c>
      <c r="J58" s="227"/>
      <c r="K58" s="218">
        <v>0</v>
      </c>
    </row>
    <row r="59" spans="2:14" s="220" customFormat="1" ht="13.5" hidden="1" customHeight="1" x14ac:dyDescent="0.25">
      <c r="B59" s="216" t="s">
        <v>1366</v>
      </c>
      <c r="C59" s="218">
        <v>0</v>
      </c>
      <c r="D59" s="218">
        <v>0</v>
      </c>
      <c r="E59" s="218">
        <v>0</v>
      </c>
      <c r="F59" s="218">
        <v>0</v>
      </c>
      <c r="G59" s="218">
        <v>0</v>
      </c>
      <c r="H59" s="218">
        <v>0</v>
      </c>
      <c r="I59" s="227">
        <f t="shared" si="16"/>
        <v>0</v>
      </c>
      <c r="J59" s="227"/>
      <c r="K59" s="218">
        <v>0</v>
      </c>
    </row>
    <row r="60" spans="2:14" s="220" customFormat="1" ht="13.5" hidden="1" customHeight="1" x14ac:dyDescent="0.25">
      <c r="B60" s="216" t="s">
        <v>922</v>
      </c>
      <c r="C60" s="218">
        <v>0</v>
      </c>
      <c r="D60" s="218">
        <v>0</v>
      </c>
      <c r="E60" s="218">
        <v>0</v>
      </c>
      <c r="F60" s="218">
        <v>0</v>
      </c>
      <c r="G60" s="218">
        <v>0</v>
      </c>
      <c r="H60" s="218">
        <v>0</v>
      </c>
      <c r="I60" s="227">
        <f t="shared" si="16"/>
        <v>0</v>
      </c>
      <c r="J60" s="227"/>
      <c r="K60" s="218">
        <v>0</v>
      </c>
    </row>
    <row r="61" spans="2:14" s="220" customFormat="1" ht="13.5" hidden="1" customHeight="1" x14ac:dyDescent="0.25">
      <c r="B61" s="216" t="s">
        <v>1339</v>
      </c>
      <c r="C61" s="218">
        <v>0</v>
      </c>
      <c r="D61" s="218">
        <v>0</v>
      </c>
      <c r="E61" s="218">
        <v>0</v>
      </c>
      <c r="F61" s="218">
        <v>0</v>
      </c>
      <c r="G61" s="218">
        <v>0</v>
      </c>
      <c r="H61" s="218">
        <v>0</v>
      </c>
      <c r="I61" s="227">
        <f t="shared" si="16"/>
        <v>0</v>
      </c>
      <c r="J61" s="227"/>
      <c r="K61" s="218">
        <v>0</v>
      </c>
    </row>
    <row r="62" spans="2:14" ht="13.5" customHeight="1" x14ac:dyDescent="0.25">
      <c r="B62" s="105" t="s">
        <v>925</v>
      </c>
      <c r="C62" s="41">
        <v>-54</v>
      </c>
      <c r="D62" s="218">
        <v>0</v>
      </c>
      <c r="E62" s="41">
        <v>0</v>
      </c>
      <c r="F62" s="218">
        <v>0</v>
      </c>
      <c r="G62" s="218">
        <v>0</v>
      </c>
      <c r="H62" s="218">
        <v>0</v>
      </c>
      <c r="I62" s="50">
        <f t="shared" si="16"/>
        <v>-54</v>
      </c>
      <c r="J62" s="50"/>
      <c r="K62" s="41">
        <v>-11</v>
      </c>
    </row>
    <row r="63" spans="2:14" ht="13.5" customHeight="1" thickBot="1" x14ac:dyDescent="0.3">
      <c r="B63" s="14" t="str">
        <f>"Accumulated depreciation at "&amp;TEXT(ComparativeYearEnd, "DD MMMM YYYY")</f>
        <v>Accumulated depreciation at 31 March 2024</v>
      </c>
      <c r="C63" s="42">
        <f t="shared" ref="C63:I63" si="20">SUM(C54:C62)</f>
        <v>3384</v>
      </c>
      <c r="D63" s="290">
        <f t="shared" si="20"/>
        <v>0</v>
      </c>
      <c r="E63" s="42">
        <f t="shared" si="20"/>
        <v>3250</v>
      </c>
      <c r="F63" s="290">
        <f t="shared" si="20"/>
        <v>0</v>
      </c>
      <c r="G63" s="290">
        <f t="shared" si="20"/>
        <v>0</v>
      </c>
      <c r="H63" s="290">
        <f t="shared" si="20"/>
        <v>0</v>
      </c>
      <c r="I63" s="42">
        <f t="shared" si="20"/>
        <v>6634</v>
      </c>
      <c r="J63" s="88"/>
      <c r="K63" s="42">
        <f>SUM(K54:K62)</f>
        <v>751</v>
      </c>
    </row>
    <row r="64" spans="2:14" ht="13.5" customHeight="1" thickTop="1" x14ac:dyDescent="0.25"/>
    <row r="65" spans="2:11" ht="13.5" customHeight="1" x14ac:dyDescent="0.25">
      <c r="B65" s="14" t="str">
        <f>"Net book value at "&amp;TEXT(ComparativeYearEnd, "DD MMMM YYYY")</f>
        <v>Net book value at 31 March 2024</v>
      </c>
      <c r="C65" s="50">
        <f t="shared" ref="C65:I65" si="21">C50-C63</f>
        <v>16434</v>
      </c>
      <c r="D65" s="227">
        <f t="shared" si="21"/>
        <v>0</v>
      </c>
      <c r="E65" s="50">
        <f t="shared" si="21"/>
        <v>4689</v>
      </c>
      <c r="F65" s="227">
        <f t="shared" si="21"/>
        <v>0</v>
      </c>
      <c r="G65" s="227">
        <f t="shared" si="21"/>
        <v>0</v>
      </c>
      <c r="H65" s="227">
        <f t="shared" si="21"/>
        <v>0</v>
      </c>
      <c r="I65" s="50">
        <f t="shared" si="21"/>
        <v>21123</v>
      </c>
      <c r="J65" s="50"/>
      <c r="K65" s="50">
        <f>K50-K63</f>
        <v>2798</v>
      </c>
    </row>
    <row r="66" spans="2:11" ht="13.5" customHeight="1" x14ac:dyDescent="0.25">
      <c r="B66" s="14" t="str">
        <f>"Net book value at "&amp; TEXT(ComparativeYearStart, "d mmmm yyyy")</f>
        <v>Net book value at 1 April 2023</v>
      </c>
      <c r="C66" s="50">
        <f t="shared" ref="C66:I66" si="22">C39-C54</f>
        <v>18040</v>
      </c>
      <c r="D66" s="227">
        <f t="shared" si="22"/>
        <v>0</v>
      </c>
      <c r="E66" s="50">
        <f t="shared" si="22"/>
        <v>3653</v>
      </c>
      <c r="F66" s="227">
        <f t="shared" si="22"/>
        <v>0</v>
      </c>
      <c r="G66" s="227">
        <f t="shared" si="22"/>
        <v>0</v>
      </c>
      <c r="H66" s="227">
        <f t="shared" si="22"/>
        <v>0</v>
      </c>
      <c r="I66" s="50">
        <f t="shared" si="22"/>
        <v>21693</v>
      </c>
      <c r="J66" s="50"/>
      <c r="K66" s="50">
        <f>K39-K54</f>
        <v>2990</v>
      </c>
    </row>
    <row r="67" spans="2:11" ht="10.5" customHeight="1" x14ac:dyDescent="0.25"/>
    <row r="68" spans="2:11" ht="13.5" customHeight="1" x14ac:dyDescent="0.25">
      <c r="B68" s="2" t="s">
        <v>1431</v>
      </c>
      <c r="K68" s="41">
        <v>526</v>
      </c>
    </row>
    <row r="69" spans="2:11" ht="13.5" customHeight="1" x14ac:dyDescent="0.25">
      <c r="B69" s="2" t="s">
        <v>1432</v>
      </c>
      <c r="K69" s="41">
        <v>2272</v>
      </c>
    </row>
  </sheetData>
  <phoneticPr fontId="47" type="noConversion"/>
  <pageMargins left="0.59055118110236227" right="0.59055118110236227" top="0.59055118110236227" bottom="0.59055118110236227" header="0" footer="0"/>
  <pageSetup paperSize="9" scale="97" orientation="portrait" r:id="rId1"/>
  <headerFooter>
    <oddFooter>Page &amp;P</oddFooter>
  </headerFooter>
  <rowBreaks count="1" manualBreakCount="1">
    <brk id="3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4DC4A-7D7B-4F27-B62C-9895036347FA}">
  <sheetPr codeName="Sheet58">
    <tabColor rgb="FF92D050"/>
  </sheetPr>
  <dimension ref="A1:R81"/>
  <sheetViews>
    <sheetView workbookViewId="0"/>
  </sheetViews>
  <sheetFormatPr defaultColWidth="9.1796875" defaultRowHeight="13.5" customHeight="1" x14ac:dyDescent="0.35"/>
  <cols>
    <col min="1" max="1" width="1.1796875" style="32" customWidth="1"/>
    <col min="2" max="2" width="40.453125" customWidth="1"/>
    <col min="3" max="3" width="10.7265625" style="1" customWidth="1"/>
    <col min="4" max="4" width="0.7265625" style="1" customWidth="1"/>
    <col min="5" max="5" width="10.7265625" style="1" customWidth="1"/>
    <col min="6" max="6" width="1" style="1" customWidth="1"/>
    <col min="7" max="7" width="10.7265625" style="1" customWidth="1"/>
    <col min="8" max="8" width="0.7265625" style="1" customWidth="1"/>
    <col min="9" max="9" width="10.7265625" style="1" customWidth="1"/>
    <col min="10" max="18" width="9.1796875" style="1"/>
  </cols>
  <sheetData>
    <row r="1" spans="1:18" ht="13.5" customHeight="1" x14ac:dyDescent="0.35">
      <c r="A1" s="32">
        <f>'15 RoU assets'!A34+0.1</f>
        <v>15.299999999999999</v>
      </c>
      <c r="B1" s="14" t="str">
        <f>"Note "&amp;A1&amp;" Revaluations of right of use assets"</f>
        <v>Note 15.3 Revaluations of right of use assets</v>
      </c>
      <c r="M1" s="2"/>
    </row>
    <row r="2" spans="1:18" s="237" customFormat="1" ht="27.75" hidden="1" customHeight="1" x14ac:dyDescent="0.35">
      <c r="A2" s="278"/>
      <c r="B2" s="446" t="str">
        <f>"[If the trust is measuring right of use assets applying the revaluation model in IAS 16, disclosures should be made relating to any revaluations that have taken place in year. For details refer to the guidance in note "&amp;'PPE 3, Lessee'!A6&amp;"."</f>
        <v>[If the trust is measuring right of use assets applying the revaluation model in IAS 16, disclosures should be made relating to any revaluations that have taken place in year. For details refer to the guidance in note 16.</v>
      </c>
      <c r="C2" s="446"/>
      <c r="D2" s="446"/>
      <c r="E2" s="446"/>
      <c r="F2" s="446"/>
      <c r="G2" s="446"/>
      <c r="H2" s="446"/>
      <c r="I2" s="446"/>
      <c r="J2" s="245"/>
      <c r="K2" s="245"/>
      <c r="L2" s="245"/>
      <c r="M2" s="245"/>
      <c r="N2" s="245"/>
      <c r="O2" s="245"/>
      <c r="P2" s="245"/>
      <c r="Q2" s="245"/>
      <c r="R2" s="245"/>
    </row>
    <row r="3" spans="1:18" ht="30" customHeight="1" x14ac:dyDescent="0.35">
      <c r="B3" s="432" t="s">
        <v>1778</v>
      </c>
      <c r="C3" s="432"/>
      <c r="D3" s="432"/>
      <c r="E3" s="432"/>
      <c r="F3" s="432"/>
      <c r="G3" s="432"/>
      <c r="H3" s="432"/>
      <c r="I3" s="432"/>
      <c r="M3" s="421"/>
    </row>
    <row r="5" spans="1:18" s="1" customFormat="1" ht="13.5" customHeight="1" x14ac:dyDescent="0.25">
      <c r="A5" s="31">
        <f>ROUNDDOWN(A1,1)+0.1</f>
        <v>15.4</v>
      </c>
      <c r="B5" s="93" t="str">
        <f>"Note "&amp; A5&amp; " Reconciliation of the carrying value of lease liabilities"</f>
        <v>Note 15.4 Reconciliation of the carrying value of lease liabilities</v>
      </c>
      <c r="C5" s="14"/>
    </row>
    <row r="6" spans="1:18" s="1" customFormat="1" ht="27.75" customHeight="1" x14ac:dyDescent="0.25">
      <c r="A6" s="31"/>
      <c r="B6" s="432" t="s">
        <v>1755</v>
      </c>
      <c r="C6" s="432"/>
      <c r="D6" s="432"/>
      <c r="E6" s="432"/>
      <c r="F6" s="432"/>
      <c r="G6" s="432"/>
      <c r="H6" s="432"/>
      <c r="I6" s="432"/>
      <c r="J6" s="360"/>
    </row>
    <row r="7" spans="1:18" s="1" customFormat="1" ht="13.5" customHeight="1" x14ac:dyDescent="0.25">
      <c r="A7" s="31"/>
      <c r="B7" s="14"/>
      <c r="G7" s="80" t="str">
        <f>CurrentFY</f>
        <v>2024/25</v>
      </c>
      <c r="I7" s="80" t="str">
        <f>ComparativeFY</f>
        <v>2023/24</v>
      </c>
    </row>
    <row r="8" spans="1:18" s="1" customFormat="1" ht="13.5" customHeight="1" x14ac:dyDescent="0.25">
      <c r="A8" s="31"/>
      <c r="B8" s="14"/>
      <c r="G8" s="80" t="s">
        <v>542</v>
      </c>
      <c r="I8" s="80" t="s">
        <v>542</v>
      </c>
    </row>
    <row r="9" spans="1:18" s="2" customFormat="1" ht="13.5" customHeight="1" x14ac:dyDescent="0.25">
      <c r="A9" s="30"/>
      <c r="B9" s="195" t="str">
        <f>"Carrying value at "&amp;TEXT(CurrentYearStart,"d mmmm")</f>
        <v>Carrying value at 1 April</v>
      </c>
      <c r="F9" s="19"/>
      <c r="G9" s="50">
        <f>I20</f>
        <v>19215</v>
      </c>
      <c r="H9" s="18"/>
      <c r="I9" s="50">
        <v>19987</v>
      </c>
    </row>
    <row r="10" spans="1:18" s="220" customFormat="1" ht="13.5" hidden="1" customHeight="1" x14ac:dyDescent="0.25">
      <c r="A10" s="286"/>
      <c r="B10" s="216" t="s">
        <v>500</v>
      </c>
      <c r="F10" s="280"/>
      <c r="G10" s="227"/>
      <c r="H10" s="321"/>
      <c r="I10" s="218">
        <v>0</v>
      </c>
    </row>
    <row r="11" spans="1:18" s="220" customFormat="1" ht="13.5" hidden="1" customHeight="1" x14ac:dyDescent="0.25">
      <c r="A11" s="286"/>
      <c r="B11" s="361" t="str">
        <f>"Carrying value at "&amp;TEXT(CurrentYearStart,"d mmmm")&amp;" - restated"</f>
        <v>Carrying value at 1 April - restated</v>
      </c>
      <c r="F11" s="280"/>
      <c r="G11" s="222">
        <f>SUM(G9:G10)</f>
        <v>19215</v>
      </c>
      <c r="H11" s="321"/>
      <c r="I11" s="222">
        <f>SUM(I9:I10)</f>
        <v>19987</v>
      </c>
    </row>
    <row r="12" spans="1:18" s="2" customFormat="1" ht="13.5" hidden="1" customHeight="1" x14ac:dyDescent="0.25">
      <c r="A12" s="30" t="s">
        <v>1338</v>
      </c>
      <c r="B12" s="14" t="s">
        <v>944</v>
      </c>
      <c r="F12" s="19"/>
      <c r="G12" s="50">
        <v>0</v>
      </c>
      <c r="H12" s="18"/>
      <c r="I12" s="50">
        <v>0</v>
      </c>
      <c r="J12" s="150" t="s">
        <v>1338</v>
      </c>
    </row>
    <row r="13" spans="1:18" s="220" customFormat="1" ht="13.5" hidden="1" customHeight="1" x14ac:dyDescent="0.25">
      <c r="A13" s="286"/>
      <c r="B13" s="320" t="s">
        <v>927</v>
      </c>
      <c r="F13" s="280"/>
      <c r="G13" s="218">
        <v>0</v>
      </c>
      <c r="H13" s="321"/>
      <c r="I13" s="218">
        <v>0</v>
      </c>
    </row>
    <row r="14" spans="1:18" s="2" customFormat="1" ht="13.5" customHeight="1" x14ac:dyDescent="0.25">
      <c r="A14" s="30"/>
      <c r="B14" s="200" t="s">
        <v>1369</v>
      </c>
      <c r="F14" s="19"/>
      <c r="G14" s="41">
        <v>2662</v>
      </c>
      <c r="H14" s="18"/>
      <c r="I14" s="41">
        <v>2341</v>
      </c>
    </row>
    <row r="15" spans="1:18" s="2" customFormat="1" ht="13.5" customHeight="1" x14ac:dyDescent="0.25">
      <c r="A15" s="30"/>
      <c r="B15" s="200" t="s">
        <v>1325</v>
      </c>
      <c r="F15" s="19"/>
      <c r="G15" s="41">
        <v>3829</v>
      </c>
      <c r="H15" s="18"/>
      <c r="I15" s="41">
        <v>593</v>
      </c>
    </row>
    <row r="16" spans="1:18" s="2" customFormat="1" ht="13.5" customHeight="1" x14ac:dyDescent="0.25">
      <c r="A16" s="30"/>
      <c r="B16" s="200" t="s">
        <v>1370</v>
      </c>
      <c r="F16" s="19"/>
      <c r="G16" s="41">
        <v>285</v>
      </c>
      <c r="H16" s="18"/>
      <c r="I16" s="41">
        <v>192</v>
      </c>
    </row>
    <row r="17" spans="1:9" s="2" customFormat="1" ht="13.5" customHeight="1" x14ac:dyDescent="0.25">
      <c r="A17" s="30"/>
      <c r="B17" s="200" t="s">
        <v>1082</v>
      </c>
      <c r="F17" s="19"/>
      <c r="G17" s="41">
        <v>-801</v>
      </c>
      <c r="H17" s="18"/>
      <c r="I17" s="41">
        <v>-526</v>
      </c>
    </row>
    <row r="18" spans="1:9" s="2" customFormat="1" ht="13.5" customHeight="1" x14ac:dyDescent="0.25">
      <c r="A18" s="30"/>
      <c r="B18" s="200" t="s">
        <v>1376</v>
      </c>
      <c r="F18" s="19"/>
      <c r="G18" s="41">
        <v>-3349</v>
      </c>
      <c r="H18" s="18"/>
      <c r="I18" s="41">
        <v>-3372</v>
      </c>
    </row>
    <row r="19" spans="1:9" s="220" customFormat="1" ht="13.5" hidden="1" customHeight="1" x14ac:dyDescent="0.25">
      <c r="A19" s="286" t="s">
        <v>1338</v>
      </c>
      <c r="B19" s="320" t="s">
        <v>1083</v>
      </c>
      <c r="F19" s="280"/>
      <c r="G19" s="218">
        <v>0</v>
      </c>
      <c r="H19" s="321"/>
      <c r="I19" s="218">
        <v>0</v>
      </c>
    </row>
    <row r="20" spans="1:9" s="2" customFormat="1" ht="13.5" customHeight="1" thickBot="1" x14ac:dyDescent="0.3">
      <c r="A20" s="30"/>
      <c r="B20" s="195" t="str">
        <f>"Carrying value at "&amp;TEXT(CurrentYearEnd,"DD MMMM")</f>
        <v>Carrying value at 31 March</v>
      </c>
      <c r="F20" s="19"/>
      <c r="G20" s="42">
        <f>SUM(G11:G19)</f>
        <v>21841</v>
      </c>
      <c r="H20" s="18"/>
      <c r="I20" s="42">
        <f>SUM(I11:I19)</f>
        <v>19215</v>
      </c>
    </row>
    <row r="21" spans="1:9" s="2" customFormat="1" ht="13.5" customHeight="1" thickTop="1" x14ac:dyDescent="0.25">
      <c r="A21" s="30"/>
      <c r="B21" s="10"/>
      <c r="C21" s="19"/>
      <c r="D21" s="18"/>
      <c r="F21" s="19"/>
    </row>
    <row r="22" spans="1:9" s="2" customFormat="1" ht="25.5" customHeight="1" x14ac:dyDescent="0.25">
      <c r="A22" s="30"/>
      <c r="B22" s="432" t="s">
        <v>1716</v>
      </c>
      <c r="C22" s="432"/>
      <c r="D22" s="432"/>
      <c r="E22" s="432"/>
      <c r="F22" s="432"/>
      <c r="G22" s="432"/>
      <c r="H22" s="432"/>
      <c r="I22" s="432"/>
    </row>
    <row r="23" spans="1:9" s="220" customFormat="1" ht="24" hidden="1" customHeight="1" x14ac:dyDescent="0.25">
      <c r="A23" s="286"/>
      <c r="B23" s="431" t="e">
        <f>"These payments are disclosed in Note "&amp;'Op Exp'!A1&amp;". Cash outflows in respect of leases recognised on-SoFP are disclosed in the reconciliation above."</f>
        <v>#REF!</v>
      </c>
      <c r="C23" s="431"/>
      <c r="D23" s="431"/>
      <c r="E23" s="431"/>
      <c r="F23" s="431"/>
      <c r="G23" s="431"/>
      <c r="H23" s="431"/>
      <c r="I23" s="431"/>
    </row>
    <row r="24" spans="1:9" s="220" customFormat="1" ht="24" hidden="1" customHeight="1" x14ac:dyDescent="0.25">
      <c r="A24" s="286"/>
      <c r="B24" s="482" t="s">
        <v>1742</v>
      </c>
      <c r="C24" s="482"/>
      <c r="D24" s="482"/>
      <c r="E24" s="482"/>
      <c r="F24" s="482"/>
      <c r="G24" s="482"/>
      <c r="H24" s="482"/>
      <c r="I24" s="482"/>
    </row>
    <row r="25" spans="1:9" s="2" customFormat="1" ht="13.5" customHeight="1" x14ac:dyDescent="0.25">
      <c r="A25" s="30"/>
      <c r="B25" s="10"/>
      <c r="C25" s="19"/>
      <c r="D25" s="18"/>
      <c r="F25" s="19"/>
    </row>
    <row r="26" spans="1:9" s="1" customFormat="1" ht="13.5" customHeight="1" x14ac:dyDescent="0.25">
      <c r="A26" s="31">
        <f>A5+0.1</f>
        <v>15.5</v>
      </c>
      <c r="B26" s="93" t="str">
        <f>"Note "&amp; A26&amp; " Maturity analysis of future lease payments "</f>
        <v xml:space="preserve">Note 15.5 Maturity analysis of future lease payments </v>
      </c>
      <c r="C26" s="14"/>
    </row>
    <row r="27" spans="1:9" s="1" customFormat="1" ht="47.25" customHeight="1" x14ac:dyDescent="0.25">
      <c r="A27" s="31"/>
      <c r="B27" s="14"/>
      <c r="C27" s="80" t="s">
        <v>541</v>
      </c>
      <c r="E27" s="94" t="s">
        <v>1404</v>
      </c>
      <c r="G27" s="80" t="s">
        <v>541</v>
      </c>
      <c r="I27" s="94" t="s">
        <v>1404</v>
      </c>
    </row>
    <row r="28" spans="1:9" s="2" customFormat="1" ht="26.25" customHeight="1" x14ac:dyDescent="0.25">
      <c r="A28" s="30"/>
      <c r="B28" s="10"/>
      <c r="C28" s="80" t="str">
        <f>TEXT(CurrentYearEnd, "d mmmm yyyy")</f>
        <v>31 March 2025</v>
      </c>
      <c r="D28" s="18"/>
      <c r="E28" s="80" t="str">
        <f>TEXT(CurrentYearEnd, "d mmmm yyyy")</f>
        <v>31 March 2025</v>
      </c>
      <c r="G28" s="80" t="str">
        <f>TEXT(ComparativeYearEnd, "d mmmm yyyy")</f>
        <v>31 March 2024</v>
      </c>
      <c r="H28" s="80"/>
      <c r="I28" s="80" t="str">
        <f>TEXT(ComparativeYearEnd, "d mmmm yyyy")</f>
        <v>31 March 2024</v>
      </c>
    </row>
    <row r="29" spans="1:9" s="2" customFormat="1" ht="13.5" customHeight="1" x14ac:dyDescent="0.25">
      <c r="A29" s="30"/>
      <c r="B29" s="10"/>
      <c r="C29" s="191" t="s">
        <v>542</v>
      </c>
      <c r="D29" s="18"/>
      <c r="E29" s="191" t="s">
        <v>542</v>
      </c>
      <c r="G29" s="80" t="s">
        <v>542</v>
      </c>
      <c r="H29" s="80"/>
      <c r="I29" s="80" t="s">
        <v>542</v>
      </c>
    </row>
    <row r="30" spans="1:9" s="2" customFormat="1" ht="13.5" customHeight="1" x14ac:dyDescent="0.25">
      <c r="A30" s="30"/>
      <c r="B30" s="125" t="s">
        <v>1352</v>
      </c>
      <c r="C30" s="19"/>
      <c r="D30" s="18"/>
      <c r="E30" s="1"/>
      <c r="G30" s="93"/>
      <c r="H30" s="41"/>
      <c r="I30" s="41"/>
    </row>
    <row r="31" spans="1:9" s="2" customFormat="1" ht="13.5" customHeight="1" x14ac:dyDescent="0.25">
      <c r="A31" s="30"/>
      <c r="B31" s="124" t="s">
        <v>880</v>
      </c>
      <c r="C31" s="41">
        <v>4861</v>
      </c>
      <c r="D31" s="41"/>
      <c r="E31" s="41">
        <v>861</v>
      </c>
      <c r="G31" s="41">
        <v>3511.509</v>
      </c>
      <c r="H31" s="41"/>
      <c r="I31" s="41">
        <v>393.89699999999999</v>
      </c>
    </row>
    <row r="32" spans="1:9" s="2" customFormat="1" ht="13.5" customHeight="1" x14ac:dyDescent="0.25">
      <c r="A32" s="30"/>
      <c r="B32" s="124" t="s">
        <v>881</v>
      </c>
      <c r="C32" s="41">
        <v>7849</v>
      </c>
      <c r="D32" s="41"/>
      <c r="E32" s="41">
        <v>894</v>
      </c>
      <c r="G32" s="41">
        <v>5975.8540000000003</v>
      </c>
      <c r="H32" s="41"/>
      <c r="I32" s="41">
        <v>712.63</v>
      </c>
    </row>
    <row r="33" spans="1:18" s="2" customFormat="1" ht="13.5" customHeight="1" x14ac:dyDescent="0.25">
      <c r="A33" s="30"/>
      <c r="B33" s="124" t="s">
        <v>882</v>
      </c>
      <c r="C33" s="41">
        <v>10904</v>
      </c>
      <c r="D33" s="41"/>
      <c r="E33" s="41">
        <v>1742</v>
      </c>
      <c r="G33" s="41">
        <v>11299.728999999999</v>
      </c>
      <c r="H33" s="41"/>
      <c r="I33" s="41">
        <v>1806.961</v>
      </c>
    </row>
    <row r="34" spans="1:18" s="2" customFormat="1" ht="13.5" customHeight="1" x14ac:dyDescent="0.25">
      <c r="A34" s="30"/>
      <c r="B34" s="125" t="s">
        <v>1353</v>
      </c>
      <c r="C34" s="43">
        <f>SUM(C31:C33)</f>
        <v>23614</v>
      </c>
      <c r="D34" s="18"/>
      <c r="E34" s="43">
        <f>SUM(E31:E33)</f>
        <v>3497</v>
      </c>
      <c r="G34" s="43">
        <f>SUM(G31:G33)</f>
        <v>20787.092000000001</v>
      </c>
      <c r="H34" s="41"/>
      <c r="I34" s="43">
        <f>SUM(I31:I33)</f>
        <v>2913.4880000000003</v>
      </c>
    </row>
    <row r="35" spans="1:18" s="2" customFormat="1" ht="13.5" customHeight="1" x14ac:dyDescent="0.25">
      <c r="A35" s="30"/>
      <c r="B35" s="124" t="s">
        <v>1089</v>
      </c>
      <c r="C35" s="41">
        <v>-1773</v>
      </c>
      <c r="D35" s="41"/>
      <c r="E35" s="41">
        <v>-241</v>
      </c>
      <c r="G35" s="41">
        <v>-1572</v>
      </c>
      <c r="H35" s="41"/>
      <c r="I35" s="41">
        <v>-233</v>
      </c>
    </row>
    <row r="36" spans="1:18" s="2" customFormat="1" ht="13.5" customHeight="1" thickBot="1" x14ac:dyDescent="0.3">
      <c r="A36" s="30"/>
      <c r="B36" s="125" t="str">
        <f>"Net lease liabilities at "&amp;TEXT(CurrentYearEnd,"dd mmmm yyyy")</f>
        <v>Net lease liabilities at 31 March 2025</v>
      </c>
      <c r="C36" s="42">
        <f>C34+C35</f>
        <v>21841</v>
      </c>
      <c r="D36" s="18"/>
      <c r="E36" s="42">
        <f>E34+E35</f>
        <v>3256</v>
      </c>
      <c r="G36" s="42">
        <f>SUM(G34:G35)</f>
        <v>19215.092000000001</v>
      </c>
      <c r="H36" s="41"/>
      <c r="I36" s="42">
        <f>SUM(I34:I35)</f>
        <v>2680.4880000000003</v>
      </c>
    </row>
    <row r="37" spans="1:18" s="2" customFormat="1" ht="13.5" customHeight="1" thickTop="1" x14ac:dyDescent="0.25">
      <c r="A37" s="30"/>
      <c r="B37" s="125" t="s">
        <v>771</v>
      </c>
      <c r="C37" s="19"/>
      <c r="D37" s="18"/>
      <c r="E37" s="1"/>
      <c r="G37" s="93"/>
      <c r="H37" s="41"/>
      <c r="I37" s="26"/>
    </row>
    <row r="38" spans="1:18" s="2" customFormat="1" ht="13.5" customHeight="1" x14ac:dyDescent="0.25">
      <c r="A38" s="30"/>
      <c r="B38" s="203" t="s">
        <v>1439</v>
      </c>
      <c r="C38" s="41"/>
      <c r="D38" s="204"/>
      <c r="E38" s="41">
        <v>493</v>
      </c>
      <c r="G38" s="93"/>
      <c r="H38" s="41"/>
      <c r="I38" s="41">
        <v>530</v>
      </c>
    </row>
    <row r="39" spans="1:18" s="2" customFormat="1" ht="13.5" customHeight="1" x14ac:dyDescent="0.25">
      <c r="A39" s="30"/>
      <c r="B39" s="203" t="s">
        <v>1440</v>
      </c>
      <c r="C39" s="41"/>
      <c r="D39" s="204"/>
      <c r="E39" s="41">
        <v>2763</v>
      </c>
      <c r="G39" s="93"/>
      <c r="H39" s="41"/>
      <c r="I39" s="41">
        <v>2151</v>
      </c>
    </row>
    <row r="40" spans="1:18" s="1" customFormat="1" ht="13.5" customHeight="1" x14ac:dyDescent="0.25">
      <c r="A40" s="31"/>
    </row>
    <row r="41" spans="1:18" s="237" customFormat="1" ht="13.5" hidden="1" customHeight="1" x14ac:dyDescent="0.35">
      <c r="A41" s="243">
        <f>A26+0.1</f>
        <v>15.6</v>
      </c>
      <c r="B41" s="279" t="str">
        <f>"Note "&amp; A41&amp; " Leases - other information "</f>
        <v xml:space="preserve">Note 15.6 Leases - other information </v>
      </c>
      <c r="C41" s="245"/>
      <c r="D41" s="245"/>
      <c r="E41" s="245"/>
      <c r="F41" s="245"/>
      <c r="G41" s="245"/>
      <c r="H41" s="245"/>
      <c r="I41" s="245"/>
      <c r="J41" s="245"/>
      <c r="K41" s="245"/>
      <c r="L41" s="245"/>
      <c r="M41" s="245"/>
      <c r="N41" s="245"/>
      <c r="O41" s="245"/>
      <c r="P41" s="245"/>
      <c r="Q41" s="245"/>
      <c r="R41" s="245"/>
    </row>
    <row r="42" spans="1:18" s="237" customFormat="1" ht="13.5" hidden="1" customHeight="1" x14ac:dyDescent="0.35">
      <c r="A42" s="278"/>
      <c r="B42" s="446" t="s">
        <v>1434</v>
      </c>
      <c r="C42" s="446"/>
      <c r="D42" s="446"/>
      <c r="E42" s="446"/>
      <c r="F42" s="446"/>
      <c r="G42" s="446"/>
      <c r="H42" s="446"/>
      <c r="I42" s="446"/>
      <c r="J42" s="245"/>
      <c r="K42" s="245"/>
      <c r="L42" s="245"/>
      <c r="M42" s="245"/>
      <c r="N42" s="245"/>
      <c r="O42" s="245"/>
      <c r="P42" s="245"/>
      <c r="Q42" s="245"/>
      <c r="R42" s="245"/>
    </row>
    <row r="43" spans="1:18" s="237" customFormat="1" ht="13.5" hidden="1" customHeight="1" x14ac:dyDescent="0.35">
      <c r="A43" s="278"/>
      <c r="B43" s="446"/>
      <c r="C43" s="446"/>
      <c r="D43" s="446"/>
      <c r="E43" s="446"/>
      <c r="F43" s="446"/>
      <c r="G43" s="446"/>
      <c r="H43" s="446"/>
      <c r="I43" s="446"/>
      <c r="J43" s="245"/>
      <c r="K43" s="245"/>
      <c r="L43" s="245"/>
      <c r="M43" s="245"/>
      <c r="N43" s="245"/>
      <c r="O43" s="245"/>
      <c r="P43" s="245"/>
      <c r="Q43" s="245"/>
      <c r="R43" s="245"/>
    </row>
    <row r="44" spans="1:18" s="237" customFormat="1" ht="13.5" hidden="1" customHeight="1" x14ac:dyDescent="0.35">
      <c r="A44" s="278"/>
      <c r="B44" s="446"/>
      <c r="C44" s="446"/>
      <c r="D44" s="446"/>
      <c r="E44" s="446"/>
      <c r="F44" s="446"/>
      <c r="G44" s="446"/>
      <c r="H44" s="446"/>
      <c r="I44" s="446"/>
      <c r="J44" s="245"/>
      <c r="K44" s="245"/>
      <c r="L44" s="245"/>
      <c r="M44" s="245"/>
      <c r="N44" s="245"/>
      <c r="O44" s="245"/>
      <c r="P44" s="245"/>
      <c r="Q44" s="245"/>
      <c r="R44" s="245"/>
    </row>
    <row r="45" spans="1:18" s="237" customFormat="1" ht="13.5" hidden="1" customHeight="1" x14ac:dyDescent="0.35">
      <c r="A45" s="278"/>
      <c r="B45" s="446"/>
      <c r="C45" s="446"/>
      <c r="D45" s="446"/>
      <c r="E45" s="446"/>
      <c r="F45" s="446"/>
      <c r="G45" s="446"/>
      <c r="H45" s="446"/>
      <c r="I45" s="446"/>
      <c r="J45" s="245"/>
      <c r="K45" s="245"/>
      <c r="L45" s="245"/>
      <c r="M45" s="245"/>
      <c r="N45" s="245"/>
      <c r="O45" s="245"/>
      <c r="P45" s="245"/>
      <c r="Q45" s="245"/>
      <c r="R45" s="245"/>
    </row>
    <row r="46" spans="1:18" s="237" customFormat="1" ht="13.5" hidden="1" customHeight="1" x14ac:dyDescent="0.35">
      <c r="A46" s="278"/>
      <c r="B46" s="446"/>
      <c r="C46" s="446"/>
      <c r="D46" s="446"/>
      <c r="E46" s="446"/>
      <c r="F46" s="446"/>
      <c r="G46" s="446"/>
      <c r="H46" s="446"/>
      <c r="I46" s="446"/>
      <c r="J46" s="245"/>
      <c r="K46" s="245"/>
      <c r="L46" s="245"/>
      <c r="M46" s="245"/>
      <c r="N46" s="245"/>
      <c r="O46" s="245"/>
      <c r="P46" s="245"/>
      <c r="Q46" s="245"/>
      <c r="R46" s="245"/>
    </row>
    <row r="47" spans="1:18" s="237" customFormat="1" ht="13.5" hidden="1" customHeight="1" x14ac:dyDescent="0.35">
      <c r="A47" s="278"/>
      <c r="B47" s="446"/>
      <c r="C47" s="446"/>
      <c r="D47" s="446"/>
      <c r="E47" s="446"/>
      <c r="F47" s="446"/>
      <c r="G47" s="446"/>
      <c r="H47" s="446"/>
      <c r="I47" s="446"/>
      <c r="J47" s="245"/>
      <c r="K47" s="245"/>
      <c r="L47" s="245"/>
      <c r="M47" s="245"/>
      <c r="N47" s="245"/>
      <c r="O47" s="245"/>
      <c r="P47" s="245"/>
      <c r="Q47" s="245"/>
      <c r="R47" s="245"/>
    </row>
    <row r="48" spans="1:18" s="237" customFormat="1" ht="13.5" hidden="1" customHeight="1" x14ac:dyDescent="0.35">
      <c r="A48" s="278"/>
      <c r="B48" s="446"/>
      <c r="C48" s="446"/>
      <c r="D48" s="446"/>
      <c r="E48" s="446"/>
      <c r="F48" s="446"/>
      <c r="G48" s="446"/>
      <c r="H48" s="446"/>
      <c r="I48" s="446"/>
      <c r="J48" s="245"/>
      <c r="K48" s="245"/>
      <c r="L48" s="245"/>
      <c r="M48" s="245"/>
      <c r="N48" s="245"/>
      <c r="O48" s="245"/>
      <c r="P48" s="245"/>
      <c r="Q48" s="245"/>
      <c r="R48" s="245"/>
    </row>
    <row r="49" spans="1:18" s="237" customFormat="1" ht="13.5" hidden="1" customHeight="1" x14ac:dyDescent="0.35">
      <c r="A49" s="278"/>
      <c r="B49" s="446"/>
      <c r="C49" s="446"/>
      <c r="D49" s="446"/>
      <c r="E49" s="446"/>
      <c r="F49" s="446"/>
      <c r="G49" s="446"/>
      <c r="H49" s="446"/>
      <c r="I49" s="446"/>
      <c r="J49" s="245"/>
      <c r="K49" s="245"/>
      <c r="L49" s="245"/>
      <c r="M49" s="245"/>
      <c r="N49" s="245"/>
      <c r="O49" s="245"/>
      <c r="P49" s="245"/>
      <c r="Q49" s="245"/>
      <c r="R49" s="245"/>
    </row>
    <row r="50" spans="1:18" s="237" customFormat="1" ht="13.5" hidden="1" customHeight="1" x14ac:dyDescent="0.35">
      <c r="A50" s="278"/>
      <c r="B50" s="446"/>
      <c r="C50" s="446"/>
      <c r="D50" s="446"/>
      <c r="E50" s="446"/>
      <c r="F50" s="446"/>
      <c r="G50" s="446"/>
      <c r="H50" s="446"/>
      <c r="I50" s="446"/>
      <c r="J50" s="245"/>
      <c r="K50" s="245"/>
      <c r="L50" s="245"/>
      <c r="M50" s="245"/>
      <c r="N50" s="245"/>
      <c r="O50" s="245"/>
      <c r="P50" s="245"/>
      <c r="Q50" s="245"/>
      <c r="R50" s="245"/>
    </row>
    <row r="51" spans="1:18" s="237" customFormat="1" ht="13.5" hidden="1" customHeight="1" x14ac:dyDescent="0.35">
      <c r="A51" s="278"/>
      <c r="B51" s="446"/>
      <c r="C51" s="446"/>
      <c r="D51" s="446"/>
      <c r="E51" s="446"/>
      <c r="F51" s="446"/>
      <c r="G51" s="446"/>
      <c r="H51" s="446"/>
      <c r="I51" s="446"/>
      <c r="J51" s="245"/>
      <c r="K51" s="245"/>
      <c r="L51" s="245"/>
      <c r="M51" s="245"/>
      <c r="N51" s="245"/>
      <c r="O51" s="245"/>
      <c r="P51" s="245"/>
      <c r="Q51" s="245"/>
      <c r="R51" s="245"/>
    </row>
    <row r="52" spans="1:18" s="237" customFormat="1" ht="13.5" hidden="1" customHeight="1" x14ac:dyDescent="0.35">
      <c r="A52" s="278"/>
      <c r="B52" s="446"/>
      <c r="C52" s="446"/>
      <c r="D52" s="446"/>
      <c r="E52" s="446"/>
      <c r="F52" s="446"/>
      <c r="G52" s="446"/>
      <c r="H52" s="446"/>
      <c r="I52" s="446"/>
      <c r="J52" s="245"/>
      <c r="K52" s="245"/>
      <c r="L52" s="245"/>
      <c r="M52" s="245"/>
      <c r="N52" s="245"/>
      <c r="O52" s="245"/>
      <c r="P52" s="245"/>
      <c r="Q52" s="245"/>
      <c r="R52" s="245"/>
    </row>
    <row r="53" spans="1:18" s="237" customFormat="1" ht="13.5" hidden="1" customHeight="1" x14ac:dyDescent="0.35">
      <c r="A53" s="278"/>
      <c r="B53" s="446"/>
      <c r="C53" s="446"/>
      <c r="D53" s="446"/>
      <c r="E53" s="446"/>
      <c r="F53" s="446"/>
      <c r="G53" s="446"/>
      <c r="H53" s="446"/>
      <c r="I53" s="446"/>
      <c r="J53" s="245"/>
      <c r="K53" s="245"/>
      <c r="L53" s="245"/>
      <c r="M53" s="245"/>
      <c r="N53" s="245"/>
      <c r="O53" s="245"/>
      <c r="P53" s="245"/>
      <c r="Q53" s="245"/>
      <c r="R53" s="245"/>
    </row>
    <row r="54" spans="1:18" s="237" customFormat="1" ht="13.5" hidden="1" customHeight="1" x14ac:dyDescent="0.35">
      <c r="A54" s="278"/>
      <c r="B54" s="446"/>
      <c r="C54" s="446"/>
      <c r="D54" s="446"/>
      <c r="E54" s="446"/>
      <c r="F54" s="446"/>
      <c r="G54" s="446"/>
      <c r="H54" s="446"/>
      <c r="I54" s="446"/>
      <c r="J54" s="245"/>
      <c r="K54" s="245"/>
      <c r="L54" s="245"/>
      <c r="M54" s="245"/>
      <c r="N54" s="245"/>
      <c r="O54" s="245"/>
      <c r="P54" s="245"/>
      <c r="Q54" s="245"/>
      <c r="R54" s="245"/>
    </row>
    <row r="55" spans="1:18" s="237" customFormat="1" ht="13.5" hidden="1" customHeight="1" x14ac:dyDescent="0.35">
      <c r="A55" s="278"/>
      <c r="B55" s="446"/>
      <c r="C55" s="446"/>
      <c r="D55" s="446"/>
      <c r="E55" s="446"/>
      <c r="F55" s="446"/>
      <c r="G55" s="446"/>
      <c r="H55" s="446"/>
      <c r="I55" s="446"/>
      <c r="J55" s="245"/>
      <c r="K55" s="245"/>
      <c r="L55" s="245"/>
      <c r="M55" s="245"/>
      <c r="N55" s="245"/>
      <c r="O55" s="245"/>
      <c r="P55" s="245"/>
      <c r="Q55" s="245"/>
      <c r="R55" s="245"/>
    </row>
    <row r="56" spans="1:18" s="237" customFormat="1" ht="13.5" hidden="1" customHeight="1" x14ac:dyDescent="0.35">
      <c r="A56" s="278"/>
      <c r="B56" s="446"/>
      <c r="C56" s="446"/>
      <c r="D56" s="446"/>
      <c r="E56" s="446"/>
      <c r="F56" s="446"/>
      <c r="G56" s="446"/>
      <c r="H56" s="446"/>
      <c r="I56" s="446"/>
      <c r="J56" s="245"/>
      <c r="K56" s="245"/>
      <c r="L56" s="245"/>
      <c r="M56" s="245"/>
      <c r="N56" s="245"/>
      <c r="O56" s="245"/>
      <c r="P56" s="245"/>
      <c r="Q56" s="245"/>
      <c r="R56" s="245"/>
    </row>
    <row r="57" spans="1:18" ht="13.5" customHeight="1" x14ac:dyDescent="0.35">
      <c r="A57" s="32">
        <f>ROUNDDOWN(A26,0)+1.1</f>
        <v>16.100000000000001</v>
      </c>
      <c r="B57" s="14" t="str">
        <f>"Note "&amp; A57&amp; " Investment Property"</f>
        <v>Note 16.1 Investment Property</v>
      </c>
      <c r="C57" s="14"/>
      <c r="E57" s="14"/>
    </row>
    <row r="58" spans="1:18" ht="13.5" customHeight="1" x14ac:dyDescent="0.35">
      <c r="B58" s="14"/>
      <c r="G58" s="80" t="str">
        <f>CurrentFY</f>
        <v>2024/25</v>
      </c>
      <c r="I58" s="80" t="str">
        <f>ComparativeFY</f>
        <v>2023/24</v>
      </c>
    </row>
    <row r="59" spans="1:18" ht="13.5" customHeight="1" x14ac:dyDescent="0.35">
      <c r="B59" s="14"/>
      <c r="G59" s="80" t="s">
        <v>542</v>
      </c>
      <c r="I59" s="80" t="s">
        <v>542</v>
      </c>
    </row>
    <row r="60" spans="1:18" ht="13.5" customHeight="1" x14ac:dyDescent="0.35">
      <c r="B60" s="14" t="s">
        <v>943</v>
      </c>
      <c r="G60" s="50">
        <f>I72</f>
        <v>0</v>
      </c>
      <c r="I60" s="50">
        <v>160</v>
      </c>
    </row>
    <row r="61" spans="1:18" ht="13.5" hidden="1" customHeight="1" x14ac:dyDescent="0.35">
      <c r="B61" s="216" t="s">
        <v>500</v>
      </c>
      <c r="G61" s="218"/>
      <c r="H61" s="245"/>
      <c r="I61" s="218">
        <v>0</v>
      </c>
    </row>
    <row r="62" spans="1:18" ht="13.5" hidden="1" customHeight="1" x14ac:dyDescent="0.35">
      <c r="B62" s="255" t="str">
        <f>"Carrying value at 1 April - restated"</f>
        <v>Carrying value at 1 April - restated</v>
      </c>
      <c r="G62" s="222">
        <f>SUM(G60:G61)</f>
        <v>0</v>
      </c>
      <c r="H62" s="245"/>
      <c r="I62" s="222">
        <f>SUM(I60:I61)</f>
        <v>160</v>
      </c>
    </row>
    <row r="63" spans="1:18" ht="13.5" hidden="1" customHeight="1" x14ac:dyDescent="0.35">
      <c r="B63" s="255" t="s">
        <v>944</v>
      </c>
      <c r="G63" s="227">
        <v>0</v>
      </c>
      <c r="H63" s="245"/>
      <c r="I63" s="218">
        <v>0</v>
      </c>
    </row>
    <row r="64" spans="1:18" ht="13.5" hidden="1" customHeight="1" x14ac:dyDescent="0.35">
      <c r="B64" s="216" t="s">
        <v>919</v>
      </c>
      <c r="G64" s="218">
        <v>0</v>
      </c>
      <c r="H64" s="245"/>
      <c r="I64" s="218">
        <v>0</v>
      </c>
    </row>
    <row r="65" spans="1:18" ht="13.5" hidden="1" customHeight="1" x14ac:dyDescent="0.35">
      <c r="B65" s="216" t="s">
        <v>945</v>
      </c>
      <c r="G65" s="218">
        <v>0</v>
      </c>
      <c r="H65" s="245"/>
      <c r="I65" s="218">
        <v>0</v>
      </c>
    </row>
    <row r="66" spans="1:18" s="237" customFormat="1" ht="13.5" hidden="1" customHeight="1" x14ac:dyDescent="0.35">
      <c r="A66" s="278"/>
      <c r="B66" s="216" t="s">
        <v>1324</v>
      </c>
      <c r="C66" s="245"/>
      <c r="D66" s="245"/>
      <c r="E66" s="245"/>
      <c r="F66" s="245"/>
      <c r="G66" s="218">
        <v>0</v>
      </c>
      <c r="H66" s="245"/>
      <c r="I66" s="218">
        <v>0</v>
      </c>
      <c r="J66" s="245"/>
      <c r="K66" s="245"/>
      <c r="L66" s="245"/>
      <c r="M66" s="245"/>
      <c r="N66" s="245"/>
      <c r="O66" s="245"/>
      <c r="P66" s="245"/>
      <c r="Q66" s="245"/>
      <c r="R66" s="245"/>
    </row>
    <row r="67" spans="1:18" s="237" customFormat="1" ht="13.5" hidden="1" customHeight="1" x14ac:dyDescent="0.35">
      <c r="A67" s="278"/>
      <c r="B67" s="216" t="s">
        <v>1375</v>
      </c>
      <c r="C67" s="245"/>
      <c r="D67" s="245"/>
      <c r="E67" s="245"/>
      <c r="F67" s="245"/>
      <c r="G67" s="218">
        <v>0</v>
      </c>
      <c r="H67" s="245"/>
      <c r="I67" s="218">
        <v>0</v>
      </c>
      <c r="J67" s="245"/>
      <c r="K67" s="245"/>
      <c r="L67" s="245"/>
      <c r="M67" s="245"/>
      <c r="N67" s="245"/>
      <c r="O67" s="245"/>
      <c r="P67" s="245"/>
      <c r="Q67" s="245"/>
      <c r="R67" s="245"/>
    </row>
    <row r="68" spans="1:18" ht="13.5" customHeight="1" x14ac:dyDescent="0.35">
      <c r="B68" s="105" t="s">
        <v>946</v>
      </c>
      <c r="G68" s="41">
        <v>0</v>
      </c>
      <c r="I68" s="41">
        <v>-160</v>
      </c>
    </row>
    <row r="69" spans="1:18" ht="13.5" hidden="1" customHeight="1" x14ac:dyDescent="0.35">
      <c r="B69" s="216" t="s">
        <v>1373</v>
      </c>
      <c r="G69" s="218">
        <v>0</v>
      </c>
      <c r="H69" s="245"/>
      <c r="I69" s="218">
        <v>0</v>
      </c>
    </row>
    <row r="70" spans="1:18" ht="13.5" hidden="1" customHeight="1" x14ac:dyDescent="0.35">
      <c r="B70" s="216" t="s">
        <v>947</v>
      </c>
      <c r="G70" s="218">
        <v>0</v>
      </c>
      <c r="H70" s="245"/>
      <c r="I70" s="218">
        <v>0</v>
      </c>
    </row>
    <row r="71" spans="1:18" s="237" customFormat="1" ht="13.5" hidden="1" customHeight="1" x14ac:dyDescent="0.35">
      <c r="A71" s="278"/>
      <c r="B71" s="216" t="s">
        <v>948</v>
      </c>
      <c r="C71" s="245"/>
      <c r="D71" s="245"/>
      <c r="E71" s="245"/>
      <c r="F71" s="245"/>
      <c r="G71" s="218">
        <v>0</v>
      </c>
      <c r="H71" s="245"/>
      <c r="I71" s="218">
        <v>0</v>
      </c>
      <c r="J71" s="245"/>
      <c r="K71" s="245"/>
      <c r="L71" s="245"/>
      <c r="M71" s="245"/>
      <c r="N71" s="245"/>
      <c r="O71" s="245"/>
      <c r="P71" s="245"/>
      <c r="Q71" s="245"/>
      <c r="R71" s="245"/>
    </row>
    <row r="72" spans="1:18" ht="13.5" customHeight="1" thickBot="1" x14ac:dyDescent="0.4">
      <c r="B72" s="93" t="str">
        <f>"Carrying value at 31 March"</f>
        <v>Carrying value at 31 March</v>
      </c>
      <c r="G72" s="42">
        <f>SUM(G62:G71)</f>
        <v>0</v>
      </c>
      <c r="I72" s="42">
        <f>SUM(I62:I71)</f>
        <v>0</v>
      </c>
    </row>
    <row r="73" spans="1:18" ht="13.5" customHeight="1" thickTop="1" x14ac:dyDescent="0.35">
      <c r="B73" s="123"/>
      <c r="H73" s="14"/>
      <c r="I73" s="14"/>
    </row>
    <row r="74" spans="1:18" ht="13.5" customHeight="1" x14ac:dyDescent="0.35">
      <c r="A74" s="32">
        <f>A57+0.1</f>
        <v>16.200000000000003</v>
      </c>
      <c r="B74" s="93" t="str">
        <f>"Note "&amp;A74&amp; " Investment property income and expenses"</f>
        <v>Note 16.2 Investment property income and expenses</v>
      </c>
      <c r="H74" s="34"/>
      <c r="I74" s="34"/>
    </row>
    <row r="75" spans="1:18" ht="13.5" customHeight="1" x14ac:dyDescent="0.35">
      <c r="B75" s="1"/>
      <c r="G75" s="80" t="str">
        <f>CurrentFY</f>
        <v>2024/25</v>
      </c>
      <c r="H75" s="80"/>
      <c r="I75" s="80" t="str">
        <f>ComparativeFY</f>
        <v>2023/24</v>
      </c>
    </row>
    <row r="76" spans="1:18" ht="13.5" customHeight="1" x14ac:dyDescent="0.35">
      <c r="B76" s="1"/>
      <c r="G76" s="80" t="s">
        <v>542</v>
      </c>
      <c r="H76" s="80"/>
      <c r="I76" s="80" t="s">
        <v>542</v>
      </c>
    </row>
    <row r="77" spans="1:18" ht="24" customHeight="1" x14ac:dyDescent="0.35">
      <c r="B77" s="432" t="s">
        <v>949</v>
      </c>
      <c r="C77" s="432"/>
      <c r="D77" s="432"/>
      <c r="E77" s="432"/>
      <c r="G77" s="41">
        <v>-9</v>
      </c>
      <c r="I77" s="41">
        <v>-15</v>
      </c>
    </row>
    <row r="78" spans="1:18" ht="13.5" hidden="1" customHeight="1" x14ac:dyDescent="0.35">
      <c r="B78" s="216" t="s">
        <v>950</v>
      </c>
      <c r="G78" s="218"/>
      <c r="H78" s="245"/>
      <c r="I78" s="218"/>
    </row>
    <row r="79" spans="1:18" ht="13.5" customHeight="1" x14ac:dyDescent="0.35">
      <c r="B79" s="14" t="s">
        <v>951</v>
      </c>
      <c r="G79" s="43">
        <f>SUM(G77:G78)</f>
        <v>-9</v>
      </c>
      <c r="I79" s="43">
        <f>SUM(I77:I78)</f>
        <v>-15</v>
      </c>
    </row>
    <row r="80" spans="1:18" ht="13.5" customHeight="1" x14ac:dyDescent="0.35">
      <c r="B80" s="105" t="s">
        <v>952</v>
      </c>
      <c r="G80" s="41">
        <v>67</v>
      </c>
      <c r="I80" s="41">
        <v>87</v>
      </c>
    </row>
    <row r="81" spans="2:2" ht="13.5" customHeight="1" x14ac:dyDescent="0.35">
      <c r="B81" s="1"/>
    </row>
  </sheetData>
  <mergeCells count="8">
    <mergeCell ref="B77:E77"/>
    <mergeCell ref="B2:I2"/>
    <mergeCell ref="B3:I3"/>
    <mergeCell ref="B42:I56"/>
    <mergeCell ref="B6:I6"/>
    <mergeCell ref="B22:I22"/>
    <mergeCell ref="B23:I23"/>
    <mergeCell ref="B24:I24"/>
  </mergeCells>
  <pageMargins left="0.59055118110236227" right="0.59055118110236227" top="0.59055118110236227" bottom="0.59055118110236227" header="0" footer="0"/>
  <pageSetup paperSize="9" orientation="portrait" r:id="rId1"/>
  <headerFooter>
    <oddFoote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0">
    <tabColor rgb="FF92D050"/>
  </sheetPr>
  <dimension ref="A1:J97"/>
  <sheetViews>
    <sheetView topLeftCell="A5" workbookViewId="0"/>
  </sheetViews>
  <sheetFormatPr defaultColWidth="9.1796875" defaultRowHeight="14.15" customHeight="1" x14ac:dyDescent="0.25"/>
  <cols>
    <col min="1" max="1" width="1" style="31" customWidth="1"/>
    <col min="2" max="2" width="62.453125" style="1" customWidth="1"/>
    <col min="3" max="3" width="11.54296875" style="1" customWidth="1"/>
    <col min="4" max="4" width="1" style="1" customWidth="1"/>
    <col min="5" max="5" width="10.7265625" style="1" customWidth="1"/>
    <col min="6" max="16384" width="9.1796875" style="1"/>
  </cols>
  <sheetData>
    <row r="1" spans="1:10" s="245" customFormat="1" ht="14.15" hidden="1" customHeight="1" x14ac:dyDescent="0.25">
      <c r="A1" s="243">
        <f>ROUNDDOWN('Inv in assoc &amp; JVs, other inv'!A39,0)+1</f>
        <v>19</v>
      </c>
      <c r="B1" s="221" t="str">
        <f>"Note "&amp;A1&amp;" Disclosure of interests in other entities"</f>
        <v>Note 19 Disclosure of interests in other entities</v>
      </c>
      <c r="J1" s="268"/>
    </row>
    <row r="2" spans="1:10" s="245" customFormat="1" ht="14.15" hidden="1" customHeight="1" x14ac:dyDescent="0.25">
      <c r="A2" s="243"/>
    </row>
    <row r="3" spans="1:10" s="245" customFormat="1" ht="52.5" hidden="1" customHeight="1" x14ac:dyDescent="0.25">
      <c r="A3" s="243"/>
      <c r="B3" s="476" t="s">
        <v>966</v>
      </c>
      <c r="C3" s="476"/>
      <c r="D3" s="476"/>
      <c r="E3" s="476"/>
    </row>
    <row r="4" spans="1:10" s="245" customFormat="1" ht="13.75" hidden="1" customHeight="1" x14ac:dyDescent="0.25">
      <c r="A4" s="243"/>
      <c r="B4" s="316"/>
      <c r="C4" s="316"/>
      <c r="D4" s="316"/>
      <c r="E4" s="316"/>
    </row>
    <row r="5" spans="1:10" ht="13.75" customHeight="1" x14ac:dyDescent="0.25">
      <c r="A5" s="31">
        <f>ROUNDDOWN('15-16 Leeses&amp;IP'!A74,0)+1</f>
        <v>17</v>
      </c>
      <c r="B5" s="14" t="str">
        <f>"Note "&amp;A5&amp; " Inventories"</f>
        <v>Note 17 Inventories</v>
      </c>
      <c r="C5" s="14"/>
      <c r="D5" s="14"/>
      <c r="E5" s="14"/>
    </row>
    <row r="6" spans="1:10" ht="1.5" customHeight="1" x14ac:dyDescent="0.25">
      <c r="B6" s="14"/>
      <c r="C6" s="14"/>
      <c r="D6" s="14"/>
      <c r="E6" s="14"/>
    </row>
    <row r="7" spans="1:10" ht="26.25" customHeight="1" x14ac:dyDescent="0.25">
      <c r="B7" s="25"/>
      <c r="C7" s="80" t="str">
        <f>TEXT(CurrentYearEnd, "d mmmm yyyy")</f>
        <v>31 March 2025</v>
      </c>
      <c r="D7" s="80"/>
      <c r="E7" s="80" t="str">
        <f>TEXT(ComparativeYearEnd, "d mmmm yyyy")</f>
        <v>31 March 2024</v>
      </c>
    </row>
    <row r="8" spans="1:10" ht="13.75" customHeight="1" x14ac:dyDescent="0.25">
      <c r="C8" s="80" t="s">
        <v>542</v>
      </c>
      <c r="D8" s="80"/>
      <c r="E8" s="80" t="s">
        <v>542</v>
      </c>
    </row>
    <row r="9" spans="1:10" ht="13.75" customHeight="1" x14ac:dyDescent="0.25">
      <c r="B9" s="105" t="s">
        <v>967</v>
      </c>
      <c r="C9" s="41">
        <v>29</v>
      </c>
      <c r="D9" s="41"/>
      <c r="E9" s="41">
        <v>102</v>
      </c>
    </row>
    <row r="10" spans="1:10" s="245" customFormat="1" ht="13.75" hidden="1" customHeight="1" x14ac:dyDescent="0.25">
      <c r="A10" s="243"/>
      <c r="B10" s="216" t="s">
        <v>968</v>
      </c>
      <c r="C10" s="218">
        <v>0</v>
      </c>
      <c r="D10" s="218"/>
      <c r="E10" s="218">
        <v>0</v>
      </c>
    </row>
    <row r="11" spans="1:10" ht="13.75" customHeight="1" x14ac:dyDescent="0.25">
      <c r="B11" s="105" t="s">
        <v>969</v>
      </c>
      <c r="C11" s="41">
        <v>405</v>
      </c>
      <c r="D11" s="41"/>
      <c r="E11" s="41">
        <v>425</v>
      </c>
    </row>
    <row r="12" spans="1:10" ht="13.75" customHeight="1" x14ac:dyDescent="0.25">
      <c r="B12" s="105" t="s">
        <v>970</v>
      </c>
      <c r="C12" s="41">
        <v>308</v>
      </c>
      <c r="D12" s="41"/>
      <c r="E12" s="41">
        <v>357</v>
      </c>
    </row>
    <row r="13" spans="1:10" s="245" customFormat="1" ht="13.75" hidden="1" customHeight="1" x14ac:dyDescent="0.25">
      <c r="A13" s="243"/>
      <c r="B13" s="216" t="s">
        <v>837</v>
      </c>
      <c r="C13" s="218">
        <v>0</v>
      </c>
      <c r="D13" s="218"/>
      <c r="E13" s="218">
        <v>0</v>
      </c>
    </row>
    <row r="14" spans="1:10" ht="13.75" customHeight="1" thickBot="1" x14ac:dyDescent="0.3">
      <c r="B14" s="93" t="s">
        <v>971</v>
      </c>
      <c r="C14" s="42">
        <f>SUM(C9:C13)</f>
        <v>742</v>
      </c>
      <c r="D14" s="41"/>
      <c r="E14" s="42">
        <f>SUM(E9:E13)</f>
        <v>884</v>
      </c>
    </row>
    <row r="15" spans="1:10" s="245" customFormat="1" ht="13.75" hidden="1" customHeight="1" thickTop="1" x14ac:dyDescent="0.25">
      <c r="A15" s="243"/>
      <c r="B15" s="322" t="s">
        <v>972</v>
      </c>
    </row>
    <row r="16" spans="1:10" s="245" customFormat="1" ht="13.75" hidden="1" customHeight="1" x14ac:dyDescent="0.25">
      <c r="A16" s="243"/>
      <c r="B16" s="216" t="s">
        <v>973</v>
      </c>
      <c r="C16" s="218">
        <v>0</v>
      </c>
      <c r="D16" s="218"/>
      <c r="E16" s="218">
        <v>0</v>
      </c>
    </row>
    <row r="17" spans="1:5" ht="7.5" customHeight="1" thickTop="1" x14ac:dyDescent="0.25"/>
    <row r="18" spans="1:5" ht="14.15" customHeight="1" x14ac:dyDescent="0.25">
      <c r="B18" s="466" t="s">
        <v>1746</v>
      </c>
      <c r="C18" s="466"/>
      <c r="D18" s="466"/>
      <c r="E18" s="466"/>
    </row>
    <row r="19" spans="1:5" ht="14.15" customHeight="1" x14ac:dyDescent="0.25">
      <c r="B19" s="466"/>
      <c r="C19" s="466"/>
      <c r="D19" s="466"/>
      <c r="E19" s="466"/>
    </row>
    <row r="20" spans="1:5" s="245" customFormat="1" ht="31.9" hidden="1" customHeight="1" x14ac:dyDescent="0.25">
      <c r="A20" s="243"/>
      <c r="B20" s="476" t="s">
        <v>1590</v>
      </c>
      <c r="C20" s="476"/>
      <c r="D20" s="476"/>
      <c r="E20" s="476"/>
    </row>
    <row r="21" spans="1:5" ht="5.25" customHeight="1" x14ac:dyDescent="0.25">
      <c r="B21" s="47"/>
      <c r="C21" s="47"/>
      <c r="D21" s="47"/>
      <c r="E21" s="47"/>
    </row>
    <row r="22" spans="1:5" ht="55.5" customHeight="1" x14ac:dyDescent="0.25">
      <c r="B22" s="466" t="s">
        <v>1747</v>
      </c>
      <c r="C22" s="466"/>
      <c r="D22" s="466"/>
      <c r="E22" s="466"/>
    </row>
    <row r="23" spans="1:5" ht="25.15" customHeight="1" x14ac:dyDescent="0.25">
      <c r="B23" s="437" t="s">
        <v>974</v>
      </c>
      <c r="C23" s="437"/>
      <c r="D23" s="437"/>
      <c r="E23" s="437"/>
    </row>
    <row r="24" spans="1:5" s="245" customFormat="1" ht="34.75" hidden="1" customHeight="1" x14ac:dyDescent="0.25">
      <c r="A24" s="243"/>
      <c r="B24" s="483" t="s">
        <v>975</v>
      </c>
      <c r="C24" s="483"/>
      <c r="D24" s="483"/>
      <c r="E24" s="483"/>
    </row>
    <row r="25" spans="1:5" s="245" customFormat="1" ht="26.5" hidden="1" customHeight="1" x14ac:dyDescent="0.25">
      <c r="A25" s="243"/>
      <c r="B25" s="484" t="s">
        <v>976</v>
      </c>
      <c r="C25" s="484"/>
      <c r="D25" s="484"/>
      <c r="E25" s="484"/>
    </row>
    <row r="26" spans="1:5" ht="6.75" customHeight="1" x14ac:dyDescent="0.25">
      <c r="B26" s="44"/>
      <c r="C26" s="138"/>
      <c r="D26" s="138"/>
      <c r="E26" s="138"/>
    </row>
    <row r="27" spans="1:5" ht="13.75" customHeight="1" x14ac:dyDescent="0.25">
      <c r="A27" s="31">
        <f>A5+1</f>
        <v>18</v>
      </c>
      <c r="B27" s="93" t="str">
        <f>"Note "&amp;A27&amp; " Receivables"</f>
        <v>Note 18 Receivables</v>
      </c>
      <c r="C27" s="455"/>
      <c r="D27" s="455"/>
      <c r="E27" s="455"/>
    </row>
    <row r="28" spans="1:5" ht="27" customHeight="1" x14ac:dyDescent="0.25">
      <c r="C28" s="80" t="str">
        <f>TEXT(CurrentYearEnd, "d mmmm yyyy")</f>
        <v>31 March 2025</v>
      </c>
      <c r="D28" s="80"/>
      <c r="E28" s="80" t="str">
        <f>TEXT(ComparativeYearEnd, "d mmmm yyyy")</f>
        <v>31 March 2024</v>
      </c>
    </row>
    <row r="29" spans="1:5" ht="14.15" customHeight="1" x14ac:dyDescent="0.25">
      <c r="A29" s="1"/>
      <c r="C29" s="80" t="s">
        <v>542</v>
      </c>
      <c r="D29" s="80"/>
      <c r="E29" s="80" t="s">
        <v>542</v>
      </c>
    </row>
    <row r="30" spans="1:5" ht="14.15" customHeight="1" x14ac:dyDescent="0.25">
      <c r="A30" s="1"/>
      <c r="B30" s="14" t="s">
        <v>977</v>
      </c>
      <c r="C30" s="21"/>
      <c r="D30" s="21"/>
      <c r="E30" s="21"/>
    </row>
    <row r="31" spans="1:5" ht="14.15" customHeight="1" x14ac:dyDescent="0.25">
      <c r="A31" s="1"/>
      <c r="B31" s="105" t="s">
        <v>978</v>
      </c>
      <c r="C31" s="41">
        <v>3338</v>
      </c>
      <c r="D31" s="41"/>
      <c r="E31" s="41">
        <v>2529</v>
      </c>
    </row>
    <row r="32" spans="1:5" ht="14.15" hidden="1" customHeight="1" x14ac:dyDescent="0.25">
      <c r="A32" s="1"/>
      <c r="B32" s="216" t="s">
        <v>979</v>
      </c>
      <c r="C32" s="218">
        <v>0</v>
      </c>
      <c r="D32" s="218"/>
      <c r="E32" s="218">
        <v>0</v>
      </c>
    </row>
    <row r="33" spans="1:5" ht="14.15" hidden="1" customHeight="1" x14ac:dyDescent="0.25">
      <c r="A33" s="1"/>
      <c r="B33" s="216" t="s">
        <v>980</v>
      </c>
      <c r="C33" s="218">
        <v>0</v>
      </c>
      <c r="D33" s="218"/>
      <c r="E33" s="218">
        <v>0</v>
      </c>
    </row>
    <row r="34" spans="1:5" ht="14.15" customHeight="1" x14ac:dyDescent="0.25">
      <c r="A34" s="1"/>
      <c r="B34" s="105" t="s">
        <v>981</v>
      </c>
      <c r="C34" s="41">
        <v>-2140</v>
      </c>
      <c r="D34" s="41"/>
      <c r="E34" s="41">
        <v>-804</v>
      </c>
    </row>
    <row r="35" spans="1:5" ht="14.15" hidden="1" customHeight="1" x14ac:dyDescent="0.25">
      <c r="A35" s="1"/>
      <c r="B35" s="216" t="s">
        <v>982</v>
      </c>
      <c r="C35" s="218">
        <v>0</v>
      </c>
      <c r="D35" s="218"/>
      <c r="E35" s="218">
        <v>0</v>
      </c>
    </row>
    <row r="36" spans="1:5" ht="14.15" hidden="1" customHeight="1" x14ac:dyDescent="0.25">
      <c r="A36" s="1"/>
      <c r="B36" s="216" t="s">
        <v>983</v>
      </c>
      <c r="C36" s="218">
        <v>0</v>
      </c>
      <c r="D36" s="218"/>
      <c r="E36" s="218">
        <v>0</v>
      </c>
    </row>
    <row r="37" spans="1:5" ht="14.15" customHeight="1" x14ac:dyDescent="0.25">
      <c r="A37" s="1"/>
      <c r="B37" s="105" t="s">
        <v>984</v>
      </c>
      <c r="C37" s="41">
        <v>3890</v>
      </c>
      <c r="D37" s="41"/>
      <c r="E37" s="41">
        <v>2561</v>
      </c>
    </row>
    <row r="38" spans="1:5" ht="14.15" hidden="1" customHeight="1" x14ac:dyDescent="0.25">
      <c r="A38" s="1"/>
      <c r="B38" s="216" t="s">
        <v>985</v>
      </c>
      <c r="C38" s="218">
        <v>0</v>
      </c>
      <c r="D38" s="218"/>
      <c r="E38" s="218">
        <v>0</v>
      </c>
    </row>
    <row r="39" spans="1:5" ht="14.15" hidden="1" customHeight="1" x14ac:dyDescent="0.25">
      <c r="A39" s="1"/>
      <c r="B39" s="216" t="s">
        <v>986</v>
      </c>
      <c r="C39" s="218">
        <v>0</v>
      </c>
      <c r="D39" s="218"/>
      <c r="E39" s="218">
        <v>0</v>
      </c>
    </row>
    <row r="40" spans="1:5" ht="14.15" hidden="1" customHeight="1" x14ac:dyDescent="0.25">
      <c r="A40" s="1"/>
      <c r="B40" s="216" t="s">
        <v>987</v>
      </c>
      <c r="C40" s="218">
        <v>0</v>
      </c>
      <c r="D40" s="218"/>
      <c r="E40" s="218">
        <v>0</v>
      </c>
    </row>
    <row r="41" spans="1:5" ht="14.15" hidden="1" customHeight="1" x14ac:dyDescent="0.25">
      <c r="A41" s="1"/>
      <c r="B41" s="216" t="s">
        <v>988</v>
      </c>
      <c r="C41" s="218">
        <v>0</v>
      </c>
      <c r="D41" s="218"/>
      <c r="E41" s="218">
        <v>0</v>
      </c>
    </row>
    <row r="42" spans="1:5" ht="14.15" hidden="1" customHeight="1" x14ac:dyDescent="0.25">
      <c r="A42" s="1"/>
      <c r="B42" s="216" t="s">
        <v>1371</v>
      </c>
      <c r="C42" s="218">
        <v>0</v>
      </c>
      <c r="D42" s="218"/>
      <c r="E42" s="218">
        <v>0</v>
      </c>
    </row>
    <row r="43" spans="1:5" ht="14.15" customHeight="1" x14ac:dyDescent="0.25">
      <c r="A43" s="1"/>
      <c r="B43" s="105" t="s">
        <v>989</v>
      </c>
      <c r="C43" s="41">
        <v>169</v>
      </c>
      <c r="D43" s="41"/>
      <c r="E43" s="41">
        <v>347</v>
      </c>
    </row>
    <row r="44" spans="1:5" ht="14.15" customHeight="1" x14ac:dyDescent="0.25">
      <c r="A44" s="1"/>
      <c r="B44" s="105" t="s">
        <v>990</v>
      </c>
      <c r="C44" s="41">
        <v>918</v>
      </c>
      <c r="D44" s="41"/>
      <c r="E44" s="41">
        <v>1196</v>
      </c>
    </row>
    <row r="45" spans="1:5" ht="14.15" hidden="1" customHeight="1" x14ac:dyDescent="0.25">
      <c r="A45" s="1"/>
      <c r="B45" s="216" t="s">
        <v>991</v>
      </c>
      <c r="C45" s="218"/>
      <c r="D45" s="218"/>
      <c r="E45" s="218"/>
    </row>
    <row r="46" spans="1:5" ht="14.15" customHeight="1" x14ac:dyDescent="0.25">
      <c r="A46" s="1"/>
      <c r="B46" s="105" t="s">
        <v>992</v>
      </c>
      <c r="C46" s="41">
        <v>356</v>
      </c>
      <c r="D46" s="41"/>
      <c r="E46" s="41">
        <v>312</v>
      </c>
    </row>
    <row r="47" spans="1:5" ht="14.15" customHeight="1" thickBot="1" x14ac:dyDescent="0.3">
      <c r="A47" s="1"/>
      <c r="B47" s="93" t="s">
        <v>993</v>
      </c>
      <c r="C47" s="42">
        <f>SUM(C31:C46)</f>
        <v>6531</v>
      </c>
      <c r="D47" s="41"/>
      <c r="E47" s="42">
        <f>SUM(E31:E46)</f>
        <v>6141</v>
      </c>
    </row>
    <row r="48" spans="1:5" ht="5.25" customHeight="1" thickTop="1" x14ac:dyDescent="0.25">
      <c r="C48" s="23"/>
      <c r="D48" s="23"/>
      <c r="E48" s="23"/>
    </row>
    <row r="49" spans="2:5" ht="14.15" customHeight="1" x14ac:dyDescent="0.25">
      <c r="B49" s="14" t="s">
        <v>994</v>
      </c>
      <c r="C49" s="21"/>
      <c r="D49" s="21"/>
      <c r="E49" s="21"/>
    </row>
    <row r="50" spans="2:5" ht="14.15" customHeight="1" x14ac:dyDescent="0.25">
      <c r="B50" s="105" t="s">
        <v>978</v>
      </c>
      <c r="C50" s="41">
        <v>1055</v>
      </c>
      <c r="D50" s="41"/>
      <c r="E50" s="41">
        <v>1025</v>
      </c>
    </row>
    <row r="51" spans="2:5" ht="14.15" hidden="1" customHeight="1" x14ac:dyDescent="0.25">
      <c r="B51" s="216" t="s">
        <v>979</v>
      </c>
      <c r="C51" s="218">
        <v>0</v>
      </c>
      <c r="D51" s="218"/>
      <c r="E51" s="218">
        <v>0</v>
      </c>
    </row>
    <row r="52" spans="2:5" ht="14.15" hidden="1" customHeight="1" x14ac:dyDescent="0.25">
      <c r="B52" s="216" t="s">
        <v>980</v>
      </c>
      <c r="C52" s="218">
        <v>0</v>
      </c>
      <c r="D52" s="218"/>
      <c r="E52" s="218">
        <v>0</v>
      </c>
    </row>
    <row r="53" spans="2:5" ht="14.15" hidden="1" customHeight="1" x14ac:dyDescent="0.25">
      <c r="B53" s="216" t="s">
        <v>981</v>
      </c>
      <c r="C53" s="218">
        <v>0</v>
      </c>
      <c r="D53" s="218"/>
      <c r="E53" s="218">
        <v>0</v>
      </c>
    </row>
    <row r="54" spans="2:5" ht="14.15" hidden="1" customHeight="1" x14ac:dyDescent="0.25">
      <c r="B54" s="216" t="s">
        <v>982</v>
      </c>
      <c r="C54" s="218">
        <v>0</v>
      </c>
      <c r="D54" s="218"/>
      <c r="E54" s="218">
        <v>0</v>
      </c>
    </row>
    <row r="55" spans="2:5" ht="14.15" hidden="1" customHeight="1" x14ac:dyDescent="0.25">
      <c r="B55" s="216" t="s">
        <v>983</v>
      </c>
      <c r="C55" s="218">
        <v>0</v>
      </c>
      <c r="D55" s="218"/>
      <c r="E55" s="218">
        <v>0</v>
      </c>
    </row>
    <row r="56" spans="2:5" ht="14.15" hidden="1" customHeight="1" x14ac:dyDescent="0.25">
      <c r="B56" s="216" t="s">
        <v>984</v>
      </c>
      <c r="C56" s="218">
        <v>0</v>
      </c>
      <c r="D56" s="218"/>
      <c r="E56" s="218">
        <v>0</v>
      </c>
    </row>
    <row r="57" spans="2:5" ht="14.15" hidden="1" customHeight="1" x14ac:dyDescent="0.25">
      <c r="B57" s="216" t="s">
        <v>985</v>
      </c>
      <c r="C57" s="218">
        <v>0</v>
      </c>
      <c r="D57" s="218"/>
      <c r="E57" s="218">
        <v>0</v>
      </c>
    </row>
    <row r="58" spans="2:5" ht="14.15" hidden="1" customHeight="1" x14ac:dyDescent="0.25">
      <c r="B58" s="216" t="s">
        <v>986</v>
      </c>
      <c r="C58" s="218">
        <v>0</v>
      </c>
      <c r="D58" s="218"/>
      <c r="E58" s="218">
        <v>0</v>
      </c>
    </row>
    <row r="59" spans="2:5" ht="14.15" hidden="1" customHeight="1" x14ac:dyDescent="0.25">
      <c r="B59" s="216" t="s">
        <v>987</v>
      </c>
      <c r="C59" s="218"/>
      <c r="D59" s="218"/>
      <c r="E59" s="218">
        <v>0</v>
      </c>
    </row>
    <row r="60" spans="2:5" ht="14.15" hidden="1" customHeight="1" x14ac:dyDescent="0.25">
      <c r="B60" s="216" t="s">
        <v>988</v>
      </c>
      <c r="C60" s="218"/>
      <c r="D60" s="218"/>
      <c r="E60" s="218">
        <v>0</v>
      </c>
    </row>
    <row r="61" spans="2:5" ht="14.15" hidden="1" customHeight="1" x14ac:dyDescent="0.25">
      <c r="B61" s="216" t="s">
        <v>1371</v>
      </c>
      <c r="C61" s="218"/>
      <c r="D61" s="218"/>
      <c r="E61" s="218">
        <v>0</v>
      </c>
    </row>
    <row r="62" spans="2:5" ht="14.15" hidden="1" customHeight="1" x14ac:dyDescent="0.25">
      <c r="B62" s="216" t="s">
        <v>990</v>
      </c>
      <c r="C62" s="218"/>
      <c r="D62" s="218"/>
      <c r="E62" s="218">
        <v>0</v>
      </c>
    </row>
    <row r="63" spans="2:5" ht="14.15" hidden="1" customHeight="1" x14ac:dyDescent="0.25">
      <c r="B63" s="216" t="s">
        <v>991</v>
      </c>
      <c r="C63" s="218"/>
      <c r="D63" s="218"/>
      <c r="E63" s="218">
        <v>0</v>
      </c>
    </row>
    <row r="64" spans="2:5" ht="14.15" hidden="1" customHeight="1" x14ac:dyDescent="0.25">
      <c r="B64" s="216" t="s">
        <v>992</v>
      </c>
      <c r="C64" s="218"/>
      <c r="D64" s="218"/>
      <c r="E64" s="218">
        <v>0</v>
      </c>
    </row>
    <row r="65" spans="1:7" ht="14.15" customHeight="1" thickBot="1" x14ac:dyDescent="0.3">
      <c r="B65" s="14" t="s">
        <v>995</v>
      </c>
      <c r="C65" s="42">
        <f>SUM(C50:C64)</f>
        <v>1055</v>
      </c>
      <c r="D65" s="41"/>
      <c r="E65" s="42">
        <f>SUM(E50:E64)</f>
        <v>1025</v>
      </c>
    </row>
    <row r="66" spans="1:7" ht="8.25" customHeight="1" thickTop="1" x14ac:dyDescent="0.35">
      <c r="B66"/>
      <c r="C66"/>
      <c r="D66"/>
      <c r="E66"/>
    </row>
    <row r="67" spans="1:7" ht="14.15" customHeight="1" x14ac:dyDescent="0.25">
      <c r="B67" s="142" t="s">
        <v>996</v>
      </c>
    </row>
    <row r="68" spans="1:7" ht="14.15" customHeight="1" x14ac:dyDescent="0.25">
      <c r="B68" s="105" t="s">
        <v>977</v>
      </c>
      <c r="C68" s="41">
        <v>339</v>
      </c>
      <c r="D68" s="41"/>
      <c r="E68" s="41">
        <v>1060</v>
      </c>
    </row>
    <row r="69" spans="1:7" s="245" customFormat="1" ht="14.15" hidden="1" customHeight="1" x14ac:dyDescent="0.25">
      <c r="A69" s="243"/>
      <c r="B69" s="216" t="s">
        <v>994</v>
      </c>
      <c r="C69" s="218">
        <v>2155</v>
      </c>
      <c r="D69" s="218"/>
      <c r="E69" s="218">
        <v>0</v>
      </c>
    </row>
    <row r="70" spans="1:7" ht="4.5" customHeight="1" x14ac:dyDescent="0.25"/>
    <row r="71" spans="1:7" s="245" customFormat="1" ht="14.15" hidden="1" customHeight="1" x14ac:dyDescent="0.25">
      <c r="A71" s="243"/>
      <c r="B71" s="446" t="s">
        <v>997</v>
      </c>
      <c r="C71" s="446"/>
      <c r="D71" s="446"/>
      <c r="E71" s="446"/>
    </row>
    <row r="72" spans="1:7" s="245" customFormat="1" ht="14.15" hidden="1" customHeight="1" x14ac:dyDescent="0.25">
      <c r="A72" s="243"/>
      <c r="B72" s="446"/>
      <c r="C72" s="446"/>
      <c r="D72" s="446"/>
      <c r="E72" s="446"/>
    </row>
    <row r="73" spans="1:7" s="245" customFormat="1" ht="14.15" hidden="1" customHeight="1" x14ac:dyDescent="0.25">
      <c r="A73" s="243"/>
      <c r="B73" s="446"/>
      <c r="C73" s="446"/>
      <c r="D73" s="446"/>
      <c r="E73" s="446"/>
    </row>
    <row r="74" spans="1:7" s="245" customFormat="1" ht="14.15" hidden="1" customHeight="1" x14ac:dyDescent="0.25">
      <c r="A74" s="243"/>
      <c r="B74" s="446"/>
      <c r="C74" s="446"/>
      <c r="D74" s="446"/>
      <c r="E74" s="446"/>
    </row>
    <row r="75" spans="1:7" ht="9" customHeight="1" x14ac:dyDescent="0.25"/>
    <row r="76" spans="1:7" ht="14.15" customHeight="1" x14ac:dyDescent="0.25">
      <c r="A76" s="31">
        <f>A27+1</f>
        <v>19</v>
      </c>
      <c r="B76" s="93" t="str">
        <f>"Note "&amp;A76&amp; " Allowances for credit losses"</f>
        <v>Note 19 Allowances for credit losses</v>
      </c>
      <c r="C76" s="80"/>
      <c r="D76" s="80"/>
      <c r="E76" s="94"/>
    </row>
    <row r="77" spans="1:7" ht="14.15" customHeight="1" x14ac:dyDescent="0.25">
      <c r="B77" s="93"/>
      <c r="C77" s="80" t="str">
        <f>CurrentFY</f>
        <v>2024/25</v>
      </c>
      <c r="D77" s="80"/>
      <c r="E77" s="80" t="str">
        <f>ComparativeFY</f>
        <v>2023/24</v>
      </c>
      <c r="G77" s="14"/>
    </row>
    <row r="78" spans="1:7" ht="14.15" customHeight="1" x14ac:dyDescent="0.25">
      <c r="B78" s="14"/>
      <c r="C78" s="80" t="s">
        <v>998</v>
      </c>
      <c r="D78" s="80"/>
      <c r="E78" s="80" t="s">
        <v>998</v>
      </c>
      <c r="G78" s="80"/>
    </row>
    <row r="79" spans="1:7" ht="14.15" customHeight="1" x14ac:dyDescent="0.25">
      <c r="C79" s="80" t="s">
        <v>542</v>
      </c>
      <c r="D79" s="80"/>
      <c r="E79" s="80" t="s">
        <v>542</v>
      </c>
      <c r="G79" s="80"/>
    </row>
    <row r="80" spans="1:7" ht="14.15" customHeight="1" x14ac:dyDescent="0.25">
      <c r="B80" s="14" t="str">
        <f>"Allowances as at 1 April - brought forward"</f>
        <v>Allowances as at 1 April - brought forward</v>
      </c>
      <c r="C80" s="50">
        <f>E91</f>
        <v>804</v>
      </c>
      <c r="D80" s="50"/>
      <c r="E80" s="50">
        <v>765</v>
      </c>
      <c r="G80" s="50"/>
    </row>
    <row r="81" spans="1:7" s="245" customFormat="1" ht="14.15" hidden="1" customHeight="1" x14ac:dyDescent="0.25">
      <c r="A81" s="243"/>
      <c r="B81" s="216" t="s">
        <v>500</v>
      </c>
      <c r="C81" s="218"/>
      <c r="D81" s="218"/>
      <c r="E81" s="218">
        <v>0</v>
      </c>
      <c r="G81" s="218"/>
    </row>
    <row r="82" spans="1:7" s="245" customFormat="1" ht="14.15" hidden="1" customHeight="1" x14ac:dyDescent="0.25">
      <c r="A82" s="243"/>
      <c r="B82" s="255" t="str">
        <f>"Allowances as at 1 April - restated"</f>
        <v>Allowances as at 1 April - restated</v>
      </c>
      <c r="C82" s="222">
        <f>SUM(C80:C81)</f>
        <v>804</v>
      </c>
      <c r="D82" s="222"/>
      <c r="E82" s="222">
        <f>SUM(E80:E81)</f>
        <v>765</v>
      </c>
      <c r="G82" s="323"/>
    </row>
    <row r="83" spans="1:7" s="245" customFormat="1" ht="14.15" hidden="1" customHeight="1" x14ac:dyDescent="0.25">
      <c r="A83" s="243"/>
      <c r="B83" s="324" t="s">
        <v>1000</v>
      </c>
      <c r="C83" s="227">
        <v>0</v>
      </c>
      <c r="D83" s="227"/>
      <c r="E83" s="227">
        <v>0</v>
      </c>
      <c r="G83" s="227"/>
    </row>
    <row r="84" spans="1:7" s="245" customFormat="1" ht="14.15" hidden="1" customHeight="1" x14ac:dyDescent="0.25">
      <c r="A84" s="243"/>
      <c r="B84" s="216" t="s">
        <v>927</v>
      </c>
      <c r="C84" s="218">
        <v>0</v>
      </c>
      <c r="D84" s="218"/>
      <c r="E84" s="218">
        <v>0</v>
      </c>
      <c r="G84" s="218"/>
    </row>
    <row r="85" spans="1:7" ht="14.15" customHeight="1" x14ac:dyDescent="0.25">
      <c r="B85" s="105" t="s">
        <v>1781</v>
      </c>
      <c r="C85" s="41">
        <v>2155</v>
      </c>
      <c r="D85" s="41"/>
      <c r="E85" s="41">
        <v>818</v>
      </c>
      <c r="G85" s="41"/>
    </row>
    <row r="86" spans="1:7" s="245" customFormat="1" ht="14.15" hidden="1" customHeight="1" x14ac:dyDescent="0.25">
      <c r="A86" s="243"/>
      <c r="B86" s="216" t="s">
        <v>1002</v>
      </c>
      <c r="C86" s="218">
        <v>0</v>
      </c>
      <c r="D86" s="218"/>
      <c r="E86" s="218">
        <v>0</v>
      </c>
      <c r="G86" s="218"/>
    </row>
    <row r="87" spans="1:7" ht="14.15" customHeight="1" x14ac:dyDescent="0.25">
      <c r="B87" s="105" t="s">
        <v>1003</v>
      </c>
      <c r="C87" s="41">
        <v>-819</v>
      </c>
      <c r="D87" s="41"/>
      <c r="E87" s="41">
        <v>-765</v>
      </c>
      <c r="G87" s="41"/>
    </row>
    <row r="88" spans="1:7" ht="14.15" customHeight="1" x14ac:dyDescent="0.25">
      <c r="B88" s="105" t="s">
        <v>1004</v>
      </c>
      <c r="C88" s="41">
        <v>0</v>
      </c>
      <c r="D88" s="41"/>
      <c r="E88" s="41">
        <v>-14</v>
      </c>
      <c r="G88" s="41"/>
    </row>
    <row r="89" spans="1:7" s="245" customFormat="1" ht="14.15" hidden="1" customHeight="1" x14ac:dyDescent="0.25">
      <c r="A89" s="243"/>
      <c r="B89" s="216" t="s">
        <v>1005</v>
      </c>
      <c r="C89" s="218">
        <v>0</v>
      </c>
      <c r="D89" s="218"/>
      <c r="E89" s="218">
        <v>0</v>
      </c>
      <c r="G89" s="218"/>
    </row>
    <row r="90" spans="1:7" s="245" customFormat="1" ht="14.15" hidden="1" customHeight="1" x14ac:dyDescent="0.25">
      <c r="A90" s="243"/>
      <c r="B90" s="216" t="s">
        <v>1006</v>
      </c>
      <c r="C90" s="218">
        <v>0</v>
      </c>
      <c r="D90" s="218"/>
      <c r="E90" s="218">
        <v>0</v>
      </c>
      <c r="G90" s="218"/>
    </row>
    <row r="91" spans="1:7" ht="14.15" customHeight="1" thickBot="1" x14ac:dyDescent="0.3">
      <c r="B91" s="14" t="str">
        <f>"Allowances as at "&amp;TEXT(CurrentYearEnd,"d mmm yyyy")</f>
        <v>Allowances as at 31 Mar 2025</v>
      </c>
      <c r="C91" s="42">
        <f>SUM(C82:C90)</f>
        <v>2140</v>
      </c>
      <c r="D91" s="42"/>
      <c r="E91" s="42">
        <f>SUM(E82:E90)</f>
        <v>804</v>
      </c>
      <c r="G91" s="88"/>
    </row>
    <row r="92" spans="1:7" ht="6" customHeight="1" thickTop="1" x14ac:dyDescent="0.25"/>
    <row r="93" spans="1:7" ht="25.5" customHeight="1" x14ac:dyDescent="0.25">
      <c r="B93" s="432" t="s">
        <v>1782</v>
      </c>
      <c r="C93" s="432"/>
      <c r="D93" s="432"/>
      <c r="E93" s="432"/>
    </row>
    <row r="94" spans="1:7" ht="7.5" customHeight="1" x14ac:dyDescent="0.25"/>
    <row r="95" spans="1:7" ht="14.15" customHeight="1" x14ac:dyDescent="0.25">
      <c r="A95" s="31">
        <f>A76+1</f>
        <v>20</v>
      </c>
      <c r="B95" s="14" t="str">
        <f>"Note "&amp;A95&amp; " Exposure to credit risk"</f>
        <v>Note 20 Exposure to credit risk</v>
      </c>
    </row>
    <row r="96" spans="1:7" s="245" customFormat="1" ht="14.15" hidden="1" customHeight="1" x14ac:dyDescent="0.25">
      <c r="A96" s="243"/>
      <c r="B96" s="251" t="s">
        <v>1011</v>
      </c>
      <c r="C96" s="251"/>
      <c r="D96" s="251"/>
      <c r="E96" s="251"/>
      <c r="F96" s="251"/>
      <c r="G96" s="251"/>
    </row>
    <row r="97" spans="2:5" ht="28.5" customHeight="1" x14ac:dyDescent="0.25">
      <c r="B97" s="432" t="s">
        <v>1767</v>
      </c>
      <c r="C97" s="432"/>
      <c r="D97" s="432"/>
      <c r="E97" s="432"/>
    </row>
  </sheetData>
  <customSheetViews>
    <customSheetView guid="{EDC1BD6E-863A-4FC6-A3A9-F32079F4F0C1}">
      <selection activeCell="J16" sqref="J16"/>
      <pageMargins left="0" right="0" top="0" bottom="0" header="0" footer="0"/>
      <pageSetup paperSize="9" orientation="portrait" verticalDpi="0" r:id="rId1"/>
    </customSheetView>
  </customSheetViews>
  <mergeCells count="11">
    <mergeCell ref="B97:E97"/>
    <mergeCell ref="B24:E24"/>
    <mergeCell ref="B25:E25"/>
    <mergeCell ref="B3:E3"/>
    <mergeCell ref="B18:E19"/>
    <mergeCell ref="B20:E20"/>
    <mergeCell ref="B23:E23"/>
    <mergeCell ref="B22:E22"/>
    <mergeCell ref="C27:E27"/>
    <mergeCell ref="B71:E74"/>
    <mergeCell ref="B93:E93"/>
  </mergeCells>
  <pageMargins left="0.59055118110236227" right="0.59055118110236227" top="0.59055118110236227" bottom="0.59055118110236227" header="0" footer="0"/>
  <pageSetup paperSize="9" orientation="portrait" r:id="rId2"/>
  <headerFooter>
    <oddFoote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4">
    <tabColor rgb="FF92D050"/>
  </sheetPr>
  <dimension ref="A1:N92"/>
  <sheetViews>
    <sheetView topLeftCell="A12" workbookViewId="0"/>
  </sheetViews>
  <sheetFormatPr defaultColWidth="9.1796875" defaultRowHeight="14.15" customHeight="1" x14ac:dyDescent="0.25"/>
  <cols>
    <col min="1" max="1" width="0.81640625" style="31" customWidth="1"/>
    <col min="2" max="2" width="61.453125" style="1" customWidth="1"/>
    <col min="3" max="3" width="11.453125" style="1" customWidth="1"/>
    <col min="4" max="4" width="0.7265625" style="1" customWidth="1"/>
    <col min="5" max="5" width="11.453125" style="1" customWidth="1"/>
    <col min="6" max="16384" width="9.1796875" style="1"/>
  </cols>
  <sheetData>
    <row r="1" spans="1:5" s="245" customFormat="1" ht="14.15" hidden="1" customHeight="1" x14ac:dyDescent="0.25">
      <c r="A1" s="243">
        <f>ROUNDDOWN('Finance leases'!A1,0)+1</f>
        <v>20</v>
      </c>
      <c r="B1" s="255" t="str">
        <f>"Note "&amp;A1&amp; " Other assets"</f>
        <v>Note 20 Other assets</v>
      </c>
      <c r="C1" s="255"/>
      <c r="D1" s="255"/>
      <c r="E1" s="255"/>
    </row>
    <row r="2" spans="1:5" s="245" customFormat="1" ht="23" hidden="1" x14ac:dyDescent="0.25">
      <c r="A2" s="243"/>
      <c r="B2" s="255"/>
      <c r="C2" s="266" t="str">
        <f>TEXT(CurrentYearEnd, "d mmmm yyyy")</f>
        <v>31 March 2025</v>
      </c>
      <c r="E2" s="266" t="str">
        <f>TEXT(ComparativeYearEnd, "d mmmm yyyy")</f>
        <v>31 March 2024</v>
      </c>
    </row>
    <row r="3" spans="1:5" s="245" customFormat="1" ht="14.15" hidden="1" customHeight="1" x14ac:dyDescent="0.25">
      <c r="A3" s="243"/>
      <c r="B3" s="255" t="s">
        <v>977</v>
      </c>
      <c r="C3" s="266" t="s">
        <v>542</v>
      </c>
      <c r="E3" s="266" t="s">
        <v>542</v>
      </c>
    </row>
    <row r="4" spans="1:5" s="245" customFormat="1" ht="14.15" hidden="1" customHeight="1" x14ac:dyDescent="0.25">
      <c r="A4" s="243"/>
      <c r="B4" s="216" t="s">
        <v>510</v>
      </c>
      <c r="C4" s="218">
        <v>0</v>
      </c>
      <c r="D4" s="218"/>
      <c r="E4" s="218">
        <v>0</v>
      </c>
    </row>
    <row r="5" spans="1:5" s="245" customFormat="1" ht="14.15" hidden="1" customHeight="1" thickBot="1" x14ac:dyDescent="0.3">
      <c r="A5" s="243"/>
      <c r="B5" s="255" t="s">
        <v>1012</v>
      </c>
      <c r="C5" s="290">
        <f>SUM(C4:C4)</f>
        <v>0</v>
      </c>
      <c r="E5" s="290">
        <f>SUM(E4:E4)</f>
        <v>0</v>
      </c>
    </row>
    <row r="6" spans="1:5" s="245" customFormat="1" ht="14.15" hidden="1" customHeight="1" thickTop="1" x14ac:dyDescent="0.25">
      <c r="A6" s="243"/>
      <c r="B6" s="253" t="s">
        <v>994</v>
      </c>
    </row>
    <row r="7" spans="1:5" s="245" customFormat="1" ht="14.15" hidden="1" customHeight="1" x14ac:dyDescent="0.25">
      <c r="A7" s="243"/>
      <c r="B7" s="216" t="s">
        <v>1013</v>
      </c>
      <c r="C7" s="218">
        <v>0</v>
      </c>
      <c r="D7" s="218"/>
      <c r="E7" s="218">
        <v>0</v>
      </c>
    </row>
    <row r="8" spans="1:5" s="245" customFormat="1" ht="14.15" hidden="1" customHeight="1" x14ac:dyDescent="0.25">
      <c r="A8" s="243"/>
      <c r="B8" s="216" t="s">
        <v>510</v>
      </c>
      <c r="C8" s="218">
        <v>0</v>
      </c>
      <c r="D8" s="218"/>
      <c r="E8" s="218">
        <v>0</v>
      </c>
    </row>
    <row r="9" spans="1:5" s="245" customFormat="1" ht="14.15" hidden="1" customHeight="1" thickBot="1" x14ac:dyDescent="0.3">
      <c r="A9" s="243"/>
      <c r="B9" s="256" t="s">
        <v>1014</v>
      </c>
      <c r="C9" s="290">
        <f>SUM(C7:C8)</f>
        <v>0</v>
      </c>
      <c r="E9" s="290">
        <f>SUM(E7:E8)</f>
        <v>0</v>
      </c>
    </row>
    <row r="10" spans="1:5" s="245" customFormat="1" ht="14.15" hidden="1" customHeight="1" thickTop="1" x14ac:dyDescent="0.25">
      <c r="A10" s="243"/>
    </row>
    <row r="11" spans="1:5" s="245" customFormat="1" ht="14.15" hidden="1" customHeight="1" x14ac:dyDescent="0.25">
      <c r="A11" s="243"/>
    </row>
    <row r="12" spans="1:5" ht="14.15" customHeight="1" x14ac:dyDescent="0.25">
      <c r="A12" s="31">
        <f>'17-20 Ints&amp;InvCr'!A95+1</f>
        <v>21</v>
      </c>
      <c r="B12" s="93" t="str">
        <f>"Note "&amp;A12&amp; " Non-current assets held for sale and assets in disposal groups"</f>
        <v>Note 21 Non-current assets held for sale and assets in disposal groups</v>
      </c>
      <c r="C12" s="14"/>
      <c r="D12" s="14"/>
      <c r="E12" s="14"/>
    </row>
    <row r="13" spans="1:5" ht="13.75" customHeight="1" x14ac:dyDescent="0.25">
      <c r="B13" s="14"/>
      <c r="C13" s="80" t="str">
        <f>CurrentFY</f>
        <v>2024/25</v>
      </c>
      <c r="D13" s="80"/>
      <c r="E13" s="80" t="str">
        <f>ComparativeFY</f>
        <v>2023/24</v>
      </c>
    </row>
    <row r="14" spans="1:5" ht="14.15" customHeight="1" x14ac:dyDescent="0.25">
      <c r="B14" s="14"/>
      <c r="C14" s="80" t="s">
        <v>542</v>
      </c>
      <c r="D14" s="80"/>
      <c r="E14" s="80" t="s">
        <v>542</v>
      </c>
    </row>
    <row r="15" spans="1:5" ht="13.75" customHeight="1" x14ac:dyDescent="0.25">
      <c r="B15" s="189" t="s">
        <v>1015</v>
      </c>
      <c r="C15" s="50">
        <f>E25</f>
        <v>1126.1590000000001</v>
      </c>
      <c r="D15" s="50"/>
      <c r="E15" s="50">
        <v>0.15899999999999997</v>
      </c>
    </row>
    <row r="16" spans="1:5" s="245" customFormat="1" ht="14.15" hidden="1" customHeight="1" x14ac:dyDescent="0.25">
      <c r="A16" s="243"/>
      <c r="B16" s="216" t="s">
        <v>558</v>
      </c>
      <c r="C16" s="218"/>
      <c r="D16" s="218"/>
      <c r="E16" s="218">
        <v>0</v>
      </c>
    </row>
    <row r="17" spans="1:9" s="245" customFormat="1" ht="27" hidden="1" customHeight="1" x14ac:dyDescent="0.35">
      <c r="A17" s="243"/>
      <c r="B17" s="255" t="s">
        <v>1016</v>
      </c>
      <c r="C17" s="222">
        <f>SUM(C15:C16)</f>
        <v>1126.1590000000001</v>
      </c>
      <c r="D17" s="237"/>
      <c r="E17" s="222">
        <f>SUM(E15:E16)</f>
        <v>0.15899999999999997</v>
      </c>
    </row>
    <row r="18" spans="1:9" s="245" customFormat="1" ht="14.15" hidden="1" customHeight="1" x14ac:dyDescent="0.25">
      <c r="A18" s="243"/>
      <c r="B18" s="255" t="s">
        <v>944</v>
      </c>
      <c r="C18" s="227">
        <v>0</v>
      </c>
      <c r="D18" s="227"/>
      <c r="E18" s="227">
        <v>0</v>
      </c>
      <c r="F18" s="245" t="s">
        <v>544</v>
      </c>
      <c r="G18" s="268"/>
    </row>
    <row r="19" spans="1:9" s="245" customFormat="1" ht="14.15" hidden="1" customHeight="1" x14ac:dyDescent="0.35">
      <c r="A19" s="243"/>
      <c r="B19" s="216" t="s">
        <v>927</v>
      </c>
      <c r="C19" s="218">
        <v>0</v>
      </c>
      <c r="D19" s="237"/>
      <c r="E19" s="218">
        <v>0</v>
      </c>
    </row>
    <row r="20" spans="1:9" ht="13.75" customHeight="1" x14ac:dyDescent="0.35">
      <c r="B20" s="105" t="s">
        <v>1017</v>
      </c>
      <c r="C20" s="41">
        <v>400</v>
      </c>
      <c r="D20"/>
      <c r="E20" s="41">
        <v>1126</v>
      </c>
    </row>
    <row r="21" spans="1:9" ht="13.75" customHeight="1" x14ac:dyDescent="0.35">
      <c r="B21" s="105" t="s">
        <v>1018</v>
      </c>
      <c r="C21" s="41">
        <v>-365</v>
      </c>
      <c r="D21"/>
      <c r="E21" s="41">
        <v>0</v>
      </c>
    </row>
    <row r="22" spans="1:9" s="245" customFormat="1" ht="13.75" hidden="1" customHeight="1" x14ac:dyDescent="0.35">
      <c r="A22" s="243"/>
      <c r="B22" s="216" t="s">
        <v>1019</v>
      </c>
      <c r="C22" s="218">
        <v>0</v>
      </c>
      <c r="D22" s="237"/>
      <c r="E22" s="218">
        <v>0</v>
      </c>
    </row>
    <row r="23" spans="1:9" s="245" customFormat="1" ht="13.75" hidden="1" customHeight="1" x14ac:dyDescent="0.35">
      <c r="A23" s="243"/>
      <c r="B23" s="216" t="s">
        <v>1020</v>
      </c>
      <c r="C23" s="218">
        <v>0</v>
      </c>
      <c r="D23" s="237"/>
      <c r="E23" s="218">
        <v>0</v>
      </c>
    </row>
    <row r="24" spans="1:9" s="245" customFormat="1" ht="13.75" hidden="1" customHeight="1" x14ac:dyDescent="0.35">
      <c r="A24" s="243"/>
      <c r="B24" s="216" t="s">
        <v>1021</v>
      </c>
      <c r="C24" s="218">
        <v>0</v>
      </c>
      <c r="D24" s="237"/>
      <c r="E24" s="218">
        <v>0</v>
      </c>
      <c r="F24" s="300"/>
    </row>
    <row r="25" spans="1:9" ht="26.25" customHeight="1" thickBot="1" x14ac:dyDescent="0.4">
      <c r="B25" s="14" t="s">
        <v>1022</v>
      </c>
      <c r="C25" s="42">
        <f>SUM(C17:C24)</f>
        <v>1161.1590000000001</v>
      </c>
      <c r="D25"/>
      <c r="E25" s="42">
        <f>SUM(E17:E24)</f>
        <v>1126.1590000000001</v>
      </c>
      <c r="F25" s="17"/>
    </row>
    <row r="26" spans="1:9" ht="6" customHeight="1" thickTop="1" x14ac:dyDescent="0.25">
      <c r="B26" s="14"/>
    </row>
    <row r="27" spans="1:9" ht="41.25" customHeight="1" x14ac:dyDescent="0.25">
      <c r="B27" s="485" t="s">
        <v>1730</v>
      </c>
      <c r="C27" s="485"/>
      <c r="D27" s="485"/>
      <c r="E27" s="485"/>
    </row>
    <row r="28" spans="1:9" s="245" customFormat="1" ht="105.75" hidden="1" customHeight="1" x14ac:dyDescent="0.25">
      <c r="A28" s="243"/>
      <c r="B28" s="446" t="s">
        <v>1023</v>
      </c>
      <c r="C28" s="446"/>
      <c r="D28" s="446"/>
      <c r="E28" s="446"/>
    </row>
    <row r="30" spans="1:9" s="245" customFormat="1" ht="14.15" hidden="1" customHeight="1" x14ac:dyDescent="0.25">
      <c r="A30" s="243">
        <f>'21-23 AHFS&amp;Cr'!A12+0.1</f>
        <v>21.1</v>
      </c>
      <c r="B30" s="255" t="str">
        <f>"Note "&amp;A30&amp; " Liabilities in disposal groups"</f>
        <v>Note 21.1 Liabilities in disposal groups</v>
      </c>
      <c r="C30" s="255"/>
      <c r="D30" s="255"/>
      <c r="E30" s="255"/>
      <c r="G30" s="255"/>
      <c r="H30" s="255"/>
      <c r="I30" s="255"/>
    </row>
    <row r="31" spans="1:9" s="245" customFormat="1" ht="28.15" hidden="1" customHeight="1" x14ac:dyDescent="0.25">
      <c r="A31" s="243"/>
      <c r="B31" s="255"/>
      <c r="C31" s="266" t="str">
        <f>TEXT(CurrentYearEnd, "d mmmm yyyy")</f>
        <v>31 March 2025</v>
      </c>
      <c r="D31" s="266"/>
      <c r="E31" s="266" t="str">
        <f>TEXT(ComparativeYearEnd, "d mmmm yyyy")</f>
        <v>31 March 2024</v>
      </c>
    </row>
    <row r="32" spans="1:9" s="245" customFormat="1" ht="14.15" hidden="1" customHeight="1" x14ac:dyDescent="0.25">
      <c r="A32" s="243"/>
      <c r="B32" s="255"/>
      <c r="C32" s="266" t="s">
        <v>542</v>
      </c>
      <c r="D32" s="266"/>
      <c r="E32" s="266" t="s">
        <v>542</v>
      </c>
    </row>
    <row r="33" spans="1:14" s="245" customFormat="1" ht="14.15" hidden="1" customHeight="1" x14ac:dyDescent="0.25">
      <c r="A33" s="243"/>
      <c r="B33" s="255" t="s">
        <v>1024</v>
      </c>
      <c r="C33" s="327"/>
      <c r="D33" s="327"/>
      <c r="E33" s="327"/>
      <c r="N33" s="300"/>
    </row>
    <row r="34" spans="1:14" s="245" customFormat="1" ht="14.15" hidden="1" customHeight="1" x14ac:dyDescent="0.25">
      <c r="A34" s="243"/>
      <c r="B34" s="216" t="s">
        <v>522</v>
      </c>
      <c r="C34" s="218">
        <v>0</v>
      </c>
      <c r="D34" s="218"/>
      <c r="E34" s="218">
        <v>0</v>
      </c>
      <c r="N34" s="300"/>
    </row>
    <row r="35" spans="1:14" s="245" customFormat="1" ht="14.15" hidden="1" customHeight="1" x14ac:dyDescent="0.25">
      <c r="A35" s="243"/>
      <c r="B35" s="216" t="s">
        <v>519</v>
      </c>
      <c r="C35" s="218">
        <v>0</v>
      </c>
      <c r="D35" s="218"/>
      <c r="E35" s="218">
        <v>0</v>
      </c>
    </row>
    <row r="36" spans="1:14" s="245" customFormat="1" ht="14.15" hidden="1" customHeight="1" x14ac:dyDescent="0.25">
      <c r="A36" s="243"/>
      <c r="B36" s="216" t="s">
        <v>837</v>
      </c>
      <c r="C36" s="218">
        <v>0</v>
      </c>
      <c r="D36" s="218"/>
      <c r="E36" s="218">
        <v>0</v>
      </c>
    </row>
    <row r="37" spans="1:14" s="245" customFormat="1" ht="14.15" hidden="1" customHeight="1" thickBot="1" x14ac:dyDescent="0.3">
      <c r="A37" s="243"/>
      <c r="B37" s="221" t="s">
        <v>541</v>
      </c>
      <c r="C37" s="290">
        <f>SUM(C34:C36)</f>
        <v>0</v>
      </c>
      <c r="D37" s="218"/>
      <c r="E37" s="290">
        <f>SUM(E34:E36)</f>
        <v>0</v>
      </c>
    </row>
    <row r="38" spans="1:14" ht="14.15" customHeight="1" x14ac:dyDescent="0.25">
      <c r="A38" s="31">
        <f>A12+1</f>
        <v>22</v>
      </c>
      <c r="B38" s="93" t="str">
        <f>"Note "&amp; A38&amp; " Cash and cash equivalents movements"</f>
        <v>Note 22 Cash and cash equivalents movements</v>
      </c>
    </row>
    <row r="39" spans="1:14" ht="9" customHeight="1" x14ac:dyDescent="0.25">
      <c r="B39" s="16"/>
    </row>
    <row r="40" spans="1:14" ht="31.5" customHeight="1" x14ac:dyDescent="0.25">
      <c r="B40" s="430" t="s">
        <v>1025</v>
      </c>
      <c r="C40" s="430"/>
      <c r="D40" s="430"/>
      <c r="E40" s="430"/>
    </row>
    <row r="41" spans="1:14" ht="5.25" customHeight="1" x14ac:dyDescent="0.25">
      <c r="B41" s="35"/>
      <c r="C41" s="35"/>
      <c r="D41" s="35"/>
      <c r="E41" s="35"/>
    </row>
    <row r="42" spans="1:14" ht="14.15" customHeight="1" x14ac:dyDescent="0.25">
      <c r="B42" s="14"/>
      <c r="C42" s="80" t="str">
        <f>CurrentFY</f>
        <v>2024/25</v>
      </c>
      <c r="D42" s="80"/>
      <c r="E42" s="80" t="str">
        <f>ComparativeFY</f>
        <v>2023/24</v>
      </c>
    </row>
    <row r="43" spans="1:14" ht="14.15" customHeight="1" x14ac:dyDescent="0.25">
      <c r="B43" s="14"/>
      <c r="C43" s="80" t="s">
        <v>542</v>
      </c>
      <c r="D43" s="80"/>
      <c r="E43" s="80" t="s">
        <v>542</v>
      </c>
    </row>
    <row r="44" spans="1:14" ht="14.15" customHeight="1" x14ac:dyDescent="0.25">
      <c r="B44" s="14" t="s">
        <v>1026</v>
      </c>
      <c r="C44" s="50">
        <f>E50</f>
        <v>61030</v>
      </c>
      <c r="D44" s="50"/>
      <c r="E44" s="50">
        <v>63755</v>
      </c>
    </row>
    <row r="45" spans="1:14" s="245" customFormat="1" ht="14.15" hidden="1" customHeight="1" x14ac:dyDescent="0.25">
      <c r="A45" s="243"/>
      <c r="B45" s="216" t="s">
        <v>500</v>
      </c>
      <c r="C45" s="218"/>
      <c r="D45" s="218"/>
      <c r="E45" s="218">
        <v>0</v>
      </c>
    </row>
    <row r="46" spans="1:14" s="245" customFormat="1" ht="14.15" hidden="1" customHeight="1" x14ac:dyDescent="0.25">
      <c r="A46" s="243"/>
      <c r="B46" s="255" t="s">
        <v>1027</v>
      </c>
      <c r="C46" s="222">
        <f>SUM(C44:C45)</f>
        <v>61030</v>
      </c>
      <c r="D46" s="218"/>
      <c r="E46" s="222">
        <f>SUM(E44:E45)</f>
        <v>63755</v>
      </c>
    </row>
    <row r="47" spans="1:14" s="245" customFormat="1" ht="14.15" hidden="1" customHeight="1" x14ac:dyDescent="0.25">
      <c r="A47" s="243"/>
      <c r="B47" s="255" t="s">
        <v>944</v>
      </c>
      <c r="C47" s="227">
        <v>0</v>
      </c>
      <c r="D47" s="218"/>
      <c r="E47" s="227">
        <v>0</v>
      </c>
    </row>
    <row r="48" spans="1:14" s="245" customFormat="1" ht="14.15" hidden="1" customHeight="1" x14ac:dyDescent="0.25">
      <c r="B48" s="216" t="s">
        <v>927</v>
      </c>
      <c r="C48" s="218">
        <v>0</v>
      </c>
      <c r="D48" s="218"/>
      <c r="E48" s="218">
        <v>0</v>
      </c>
    </row>
    <row r="49" spans="1:5" ht="14.15" customHeight="1" x14ac:dyDescent="0.25">
      <c r="A49" s="1"/>
      <c r="B49" s="105" t="s">
        <v>1028</v>
      </c>
      <c r="C49" s="41">
        <v>-1918</v>
      </c>
      <c r="D49" s="41"/>
      <c r="E49" s="41">
        <v>-2725</v>
      </c>
    </row>
    <row r="50" spans="1:5" ht="14.15" customHeight="1" thickBot="1" x14ac:dyDescent="0.3">
      <c r="A50" s="1"/>
      <c r="B50" s="93" t="s">
        <v>1029</v>
      </c>
      <c r="C50" s="42">
        <f>SUM(C46:C49)</f>
        <v>59112</v>
      </c>
      <c r="D50" s="41"/>
      <c r="E50" s="42">
        <f>SUM(E46:E49)</f>
        <v>61030</v>
      </c>
    </row>
    <row r="51" spans="1:5" ht="14.15" customHeight="1" thickTop="1" x14ac:dyDescent="0.25">
      <c r="A51" s="1"/>
      <c r="B51" s="14" t="s">
        <v>1030</v>
      </c>
      <c r="C51" s="41"/>
      <c r="D51" s="41"/>
      <c r="E51" s="41"/>
    </row>
    <row r="52" spans="1:5" ht="14.15" customHeight="1" x14ac:dyDescent="0.25">
      <c r="A52" s="1"/>
      <c r="B52" s="105" t="s">
        <v>1031</v>
      </c>
      <c r="C52" s="41">
        <v>2</v>
      </c>
      <c r="D52" s="41"/>
      <c r="E52" s="41">
        <v>2</v>
      </c>
    </row>
    <row r="53" spans="1:5" ht="14.15" customHeight="1" x14ac:dyDescent="0.25">
      <c r="B53" s="105" t="s">
        <v>1032</v>
      </c>
      <c r="C53" s="41">
        <v>59110</v>
      </c>
      <c r="D53" s="41"/>
      <c r="E53" s="41">
        <v>61028</v>
      </c>
    </row>
    <row r="54" spans="1:5" s="245" customFormat="1" ht="14.15" hidden="1" customHeight="1" x14ac:dyDescent="0.25">
      <c r="B54" s="216" t="s">
        <v>1033</v>
      </c>
      <c r="C54" s="218">
        <v>0</v>
      </c>
      <c r="D54" s="218"/>
      <c r="E54" s="218">
        <v>0</v>
      </c>
    </row>
    <row r="55" spans="1:5" s="245" customFormat="1" ht="14.15" hidden="1" customHeight="1" x14ac:dyDescent="0.25">
      <c r="A55" s="243"/>
      <c r="B55" s="216" t="s">
        <v>1034</v>
      </c>
      <c r="C55" s="218">
        <v>0</v>
      </c>
      <c r="D55" s="218"/>
      <c r="E55" s="218">
        <v>0</v>
      </c>
    </row>
    <row r="56" spans="1:5" ht="14.15" customHeight="1" x14ac:dyDescent="0.25">
      <c r="B56" s="14" t="s">
        <v>1035</v>
      </c>
      <c r="C56" s="43">
        <f>SUM(C52:C55)</f>
        <v>59112</v>
      </c>
      <c r="D56" s="41"/>
      <c r="E56" s="43">
        <f>SUM(E52:E55)</f>
        <v>61030</v>
      </c>
    </row>
    <row r="57" spans="1:5" s="245" customFormat="1" ht="14.15" hidden="1" customHeight="1" x14ac:dyDescent="0.25">
      <c r="A57" s="243"/>
      <c r="B57" s="216" t="s">
        <v>1036</v>
      </c>
      <c r="C57" s="218">
        <v>0</v>
      </c>
      <c r="D57" s="218"/>
      <c r="E57" s="218">
        <v>0</v>
      </c>
    </row>
    <row r="58" spans="1:5" s="245" customFormat="1" ht="14.15" hidden="1" customHeight="1" x14ac:dyDescent="0.25">
      <c r="A58" s="243"/>
      <c r="B58" s="216" t="s">
        <v>1037</v>
      </c>
      <c r="C58" s="218">
        <v>0</v>
      </c>
      <c r="D58" s="218"/>
      <c r="E58" s="218">
        <v>0</v>
      </c>
    </row>
    <row r="59" spans="1:5" ht="14.15" customHeight="1" thickBot="1" x14ac:dyDescent="0.3">
      <c r="B59" s="93" t="s">
        <v>1038</v>
      </c>
      <c r="C59" s="42">
        <f>SUM(C56:C58)</f>
        <v>59112</v>
      </c>
      <c r="D59" s="41"/>
      <c r="E59" s="42">
        <f>SUM(E56:E58)</f>
        <v>61030</v>
      </c>
    </row>
    <row r="60" spans="1:5" ht="14.15" customHeight="1" thickTop="1" x14ac:dyDescent="0.25">
      <c r="A60" s="1"/>
    </row>
    <row r="61" spans="1:5" ht="14.15" customHeight="1" x14ac:dyDescent="0.25">
      <c r="A61" s="1">
        <f>A38+1</f>
        <v>23</v>
      </c>
      <c r="B61" s="14" t="str">
        <f>"Note "&amp;A61&amp; " Trade and other payables"</f>
        <v>Note 23 Trade and other payables</v>
      </c>
    </row>
    <row r="62" spans="1:5" ht="26.25" customHeight="1" x14ac:dyDescent="0.25">
      <c r="C62" s="80" t="str">
        <f>TEXT(CurrentYearEnd, "d mmmm yyyy")</f>
        <v>31 March 2025</v>
      </c>
      <c r="D62" s="41"/>
      <c r="E62" s="80" t="str">
        <f>TEXT(ComparativeYearEnd, "d mmmm yyyy")</f>
        <v>31 March 2024</v>
      </c>
    </row>
    <row r="63" spans="1:5" ht="14.15" customHeight="1" x14ac:dyDescent="0.25">
      <c r="C63" s="80" t="s">
        <v>542</v>
      </c>
      <c r="D63" s="41"/>
      <c r="E63" s="80" t="s">
        <v>542</v>
      </c>
    </row>
    <row r="64" spans="1:5" ht="14.15" customHeight="1" x14ac:dyDescent="0.25">
      <c r="B64" s="14" t="s">
        <v>1042</v>
      </c>
      <c r="C64" s="22"/>
      <c r="D64" s="41"/>
      <c r="E64" s="22"/>
    </row>
    <row r="65" spans="1:6" ht="14.15" customHeight="1" x14ac:dyDescent="0.25">
      <c r="B65" s="105" t="s">
        <v>1043</v>
      </c>
      <c r="C65" s="41">
        <v>620</v>
      </c>
      <c r="D65" s="41"/>
      <c r="E65" s="41">
        <v>675</v>
      </c>
    </row>
    <row r="66" spans="1:6" ht="14.15" customHeight="1" x14ac:dyDescent="0.25">
      <c r="B66" s="105" t="s">
        <v>1044</v>
      </c>
      <c r="C66" s="41">
        <v>6846</v>
      </c>
      <c r="D66" s="41"/>
      <c r="E66" s="41">
        <v>7817</v>
      </c>
    </row>
    <row r="67" spans="1:6" ht="14.15" customHeight="1" x14ac:dyDescent="0.25">
      <c r="B67" s="105" t="s">
        <v>1045</v>
      </c>
      <c r="C67" s="41">
        <v>38105</v>
      </c>
      <c r="D67" s="41"/>
      <c r="E67" s="41">
        <v>40546</v>
      </c>
    </row>
    <row r="68" spans="1:6" s="245" customFormat="1" ht="14.15" hidden="1" customHeight="1" x14ac:dyDescent="0.25">
      <c r="A68" s="243"/>
      <c r="B68" s="366" t="s">
        <v>1046</v>
      </c>
      <c r="C68" s="265">
        <v>0</v>
      </c>
      <c r="D68" s="265"/>
      <c r="E68" s="265">
        <v>0</v>
      </c>
      <c r="F68" s="268" t="s">
        <v>1715</v>
      </c>
    </row>
    <row r="69" spans="1:6" s="245" customFormat="1" ht="14.15" hidden="1" customHeight="1" x14ac:dyDescent="0.25">
      <c r="A69" s="243"/>
      <c r="B69" s="216" t="s">
        <v>1047</v>
      </c>
      <c r="C69" s="218">
        <v>0</v>
      </c>
      <c r="D69" s="218"/>
      <c r="E69" s="218">
        <v>0</v>
      </c>
    </row>
    <row r="70" spans="1:6" ht="14.15" customHeight="1" x14ac:dyDescent="0.25">
      <c r="B70" s="105" t="s">
        <v>1048</v>
      </c>
      <c r="C70" s="41">
        <v>14</v>
      </c>
      <c r="D70" s="41"/>
      <c r="E70" s="41">
        <v>18</v>
      </c>
    </row>
    <row r="71" spans="1:6" ht="14.15" customHeight="1" x14ac:dyDescent="0.25">
      <c r="B71" s="105" t="s">
        <v>1049</v>
      </c>
      <c r="C71" s="41">
        <v>0</v>
      </c>
      <c r="D71" s="41"/>
      <c r="E71" s="41">
        <v>1726</v>
      </c>
    </row>
    <row r="72" spans="1:6" ht="14.15" customHeight="1" x14ac:dyDescent="0.25">
      <c r="B72" s="105" t="s">
        <v>1050</v>
      </c>
      <c r="C72" s="41">
        <v>151</v>
      </c>
      <c r="D72" s="41"/>
      <c r="E72" s="41">
        <v>142</v>
      </c>
    </row>
    <row r="73" spans="1:6" s="245" customFormat="1" ht="14.15" hidden="1" customHeight="1" x14ac:dyDescent="0.25">
      <c r="A73" s="243"/>
      <c r="B73" s="216" t="s">
        <v>1051</v>
      </c>
      <c r="C73" s="218">
        <v>0</v>
      </c>
      <c r="D73" s="218"/>
      <c r="E73" s="218">
        <v>0</v>
      </c>
    </row>
    <row r="74" spans="1:6" ht="14.15" customHeight="1" x14ac:dyDescent="0.25">
      <c r="B74" s="105" t="s">
        <v>1372</v>
      </c>
      <c r="C74" s="41">
        <v>9</v>
      </c>
      <c r="D74" s="41"/>
      <c r="E74" s="41">
        <v>11</v>
      </c>
    </row>
    <row r="75" spans="1:6" ht="14.15" customHeight="1" x14ac:dyDescent="0.25">
      <c r="B75" s="105" t="s">
        <v>1052</v>
      </c>
      <c r="C75" s="41">
        <v>152</v>
      </c>
      <c r="D75" s="41"/>
      <c r="E75" s="41">
        <v>155</v>
      </c>
    </row>
    <row r="76" spans="1:6" ht="14.15" customHeight="1" thickBot="1" x14ac:dyDescent="0.3">
      <c r="B76" s="93" t="s">
        <v>1053</v>
      </c>
      <c r="C76" s="42">
        <f>SUM(C64:C75)</f>
        <v>45897</v>
      </c>
      <c r="D76" s="41"/>
      <c r="E76" s="42">
        <f>SUM(E64:E75)</f>
        <v>51090</v>
      </c>
    </row>
    <row r="77" spans="1:6" ht="8.25" customHeight="1" thickTop="1" x14ac:dyDescent="0.25"/>
    <row r="78" spans="1:6" ht="14.15" customHeight="1" x14ac:dyDescent="0.3">
      <c r="B78" s="332" t="s">
        <v>1677</v>
      </c>
      <c r="C78" s="273"/>
      <c r="D78" s="273"/>
      <c r="E78" s="273"/>
    </row>
    <row r="79" spans="1:6" ht="14.15" customHeight="1" x14ac:dyDescent="0.25">
      <c r="B79" s="333" t="s">
        <v>977</v>
      </c>
      <c r="C79" s="289">
        <v>890</v>
      </c>
      <c r="D79" s="289"/>
      <c r="E79" s="289">
        <v>383</v>
      </c>
    </row>
    <row r="81" spans="1:6" s="245" customFormat="1" ht="14.15" hidden="1" customHeight="1" x14ac:dyDescent="0.35">
      <c r="A81" s="243">
        <f>$A$1+0.1</f>
        <v>20.100000000000001</v>
      </c>
      <c r="B81" s="221" t="str">
        <f>"Note "&amp;A81&amp; " Early retirements in NHS payables above"</f>
        <v>Note 20.1 Early retirements in NHS payables above</v>
      </c>
      <c r="F81" s="237"/>
    </row>
    <row r="82" spans="1:6" s="245" customFormat="1" ht="14.15" hidden="1" customHeight="1" x14ac:dyDescent="0.35">
      <c r="A82" s="243"/>
      <c r="B82" s="268" t="s">
        <v>1056</v>
      </c>
      <c r="C82" s="266"/>
      <c r="D82" s="266"/>
      <c r="E82" s="266"/>
      <c r="F82" s="237"/>
    </row>
    <row r="83" spans="1:6" s="245" customFormat="1" ht="4.5" hidden="1" customHeight="1" x14ac:dyDescent="0.35">
      <c r="A83" s="243"/>
      <c r="B83" s="268"/>
      <c r="C83" s="266"/>
      <c r="D83" s="266"/>
      <c r="E83" s="266"/>
      <c r="F83" s="237"/>
    </row>
    <row r="84" spans="1:6" s="245" customFormat="1" ht="26.25" hidden="1" customHeight="1" x14ac:dyDescent="0.35">
      <c r="A84" s="243"/>
      <c r="B84" s="255"/>
      <c r="C84" s="266" t="str">
        <f>TEXT(CurrentYearEnd, "d mmmm yyyy")</f>
        <v>31 March 2025</v>
      </c>
      <c r="D84" s="266"/>
      <c r="E84" s="266" t="str">
        <f>TEXT(CurrentYearEnd, "d mmmm yyyy")</f>
        <v>31 March 2025</v>
      </c>
      <c r="F84" s="237"/>
    </row>
    <row r="85" spans="1:6" s="245" customFormat="1" ht="14.15" hidden="1" customHeight="1" x14ac:dyDescent="0.35">
      <c r="A85" s="243"/>
      <c r="C85" s="266" t="s">
        <v>542</v>
      </c>
      <c r="D85" s="266"/>
      <c r="E85" s="266" t="s">
        <v>1057</v>
      </c>
      <c r="F85" s="237"/>
    </row>
    <row r="86" spans="1:6" s="245" customFormat="1" ht="14.15" hidden="1" customHeight="1" x14ac:dyDescent="0.35">
      <c r="A86" s="243"/>
      <c r="B86" s="245" t="s">
        <v>1058</v>
      </c>
      <c r="C86" s="218">
        <v>0</v>
      </c>
      <c r="D86" s="218"/>
      <c r="E86" s="218"/>
      <c r="F86" s="237"/>
    </row>
    <row r="87" spans="1:6" s="245" customFormat="1" ht="14.15" hidden="1" customHeight="1" x14ac:dyDescent="0.35">
      <c r="A87" s="243"/>
      <c r="B87" s="245" t="s">
        <v>1059</v>
      </c>
      <c r="C87" s="218"/>
      <c r="D87" s="218"/>
      <c r="E87" s="218">
        <v>0</v>
      </c>
      <c r="F87" s="237"/>
    </row>
    <row r="88" spans="1:6" s="245" customFormat="1" ht="14.15" hidden="1" customHeight="1" x14ac:dyDescent="0.25">
      <c r="A88" s="243"/>
    </row>
    <row r="89" spans="1:6" s="245" customFormat="1" ht="27.75" hidden="1" customHeight="1" x14ac:dyDescent="0.25">
      <c r="A89" s="243"/>
      <c r="C89" s="266" t="str">
        <f>TEXT(ComparativeYearEnd, "d mmmm yyyy")</f>
        <v>31 March 2024</v>
      </c>
      <c r="D89" s="266"/>
      <c r="E89" s="266" t="str">
        <f>TEXT(ComparativeYearEnd, "d mmmm yyyy")</f>
        <v>31 March 2024</v>
      </c>
    </row>
    <row r="90" spans="1:6" s="245" customFormat="1" ht="14.15" hidden="1" customHeight="1" x14ac:dyDescent="0.25">
      <c r="A90" s="243"/>
      <c r="C90" s="266" t="s">
        <v>542</v>
      </c>
      <c r="D90" s="266"/>
      <c r="E90" s="266" t="s">
        <v>1057</v>
      </c>
    </row>
    <row r="91" spans="1:6" s="245" customFormat="1" ht="14.15" hidden="1" customHeight="1" x14ac:dyDescent="0.25">
      <c r="A91" s="243"/>
      <c r="B91" s="245" t="s">
        <v>1058</v>
      </c>
      <c r="C91" s="301">
        <v>0</v>
      </c>
      <c r="D91" s="301"/>
    </row>
    <row r="92" spans="1:6" s="245" customFormat="1" ht="14.15" hidden="1" customHeight="1" x14ac:dyDescent="0.25">
      <c r="A92" s="243"/>
      <c r="B92" s="245" t="s">
        <v>1059</v>
      </c>
      <c r="C92" s="301"/>
      <c r="D92" s="301"/>
      <c r="E92" s="218">
        <v>0</v>
      </c>
    </row>
  </sheetData>
  <customSheetViews>
    <customSheetView guid="{EDC1BD6E-863A-4FC6-A3A9-F32079F4F0C1}">
      <selection activeCell="M8" sqref="M8"/>
      <pageMargins left="0" right="0" top="0" bottom="0" header="0" footer="0"/>
      <pageSetup paperSize="9" orientation="landscape" verticalDpi="0" r:id="rId1"/>
    </customSheetView>
  </customSheetViews>
  <mergeCells count="3">
    <mergeCell ref="B28:E28"/>
    <mergeCell ref="B27:E27"/>
    <mergeCell ref="B40:E40"/>
  </mergeCells>
  <pageMargins left="0.59055118110236227" right="0.59055118110236227" top="0.59055118110236227" bottom="0.59055118110236227" header="0" footer="0"/>
  <pageSetup paperSize="9" orientation="portrait" r:id="rId2"/>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9E3C7-9DA2-4018-8829-47265490AAE6}">
  <sheetPr>
    <tabColor rgb="FFFFC000"/>
  </sheetPr>
  <dimension ref="A1:D35"/>
  <sheetViews>
    <sheetView workbookViewId="0"/>
  </sheetViews>
  <sheetFormatPr defaultRowHeight="14.5" x14ac:dyDescent="0.35"/>
  <cols>
    <col min="1" max="1" width="22.453125" style="206" customWidth="1"/>
    <col min="2" max="2" width="28.54296875" customWidth="1"/>
    <col min="3" max="3" width="16.26953125" customWidth="1"/>
    <col min="4" max="4" width="82.54296875" customWidth="1"/>
    <col min="5" max="5" width="9.1796875" customWidth="1"/>
  </cols>
  <sheetData>
    <row r="1" spans="1:4" x14ac:dyDescent="0.35">
      <c r="A1" s="208" t="s">
        <v>1494</v>
      </c>
    </row>
    <row r="2" spans="1:4" x14ac:dyDescent="0.35">
      <c r="A2" s="207" t="s">
        <v>1441</v>
      </c>
      <c r="B2" s="207" t="s">
        <v>461</v>
      </c>
      <c r="C2" s="207" t="s">
        <v>1482</v>
      </c>
      <c r="D2" s="207" t="s">
        <v>1483</v>
      </c>
    </row>
    <row r="3" spans="1:4" x14ac:dyDescent="0.35">
      <c r="A3" s="427" t="s">
        <v>1552</v>
      </c>
      <c r="B3" s="206" t="s">
        <v>1552</v>
      </c>
      <c r="C3" s="206" t="s">
        <v>1498</v>
      </c>
      <c r="D3" s="210" t="s">
        <v>1554</v>
      </c>
    </row>
    <row r="4" spans="1:4" x14ac:dyDescent="0.35">
      <c r="A4" s="427"/>
      <c r="B4" s="206" t="s">
        <v>1553</v>
      </c>
      <c r="C4" s="206" t="s">
        <v>1616</v>
      </c>
      <c r="D4" s="210" t="s">
        <v>1555</v>
      </c>
    </row>
    <row r="5" spans="1:4" x14ac:dyDescent="0.35">
      <c r="A5" s="428" t="s">
        <v>1497</v>
      </c>
      <c r="B5" s="206" t="s">
        <v>1499</v>
      </c>
      <c r="C5" s="206" t="s">
        <v>1498</v>
      </c>
      <c r="D5" s="210" t="s">
        <v>1549</v>
      </c>
    </row>
    <row r="6" spans="1:4" x14ac:dyDescent="0.35">
      <c r="A6" s="428"/>
      <c r="B6" s="206" t="s">
        <v>1499</v>
      </c>
      <c r="C6" s="206" t="s">
        <v>1498</v>
      </c>
      <c r="D6" s="210" t="s">
        <v>1554</v>
      </c>
    </row>
    <row r="7" spans="1:4" x14ac:dyDescent="0.35">
      <c r="A7" s="428"/>
      <c r="B7" s="206" t="s">
        <v>1548</v>
      </c>
      <c r="C7" s="206" t="s">
        <v>1498</v>
      </c>
      <c r="D7" s="210" t="s">
        <v>1550</v>
      </c>
    </row>
    <row r="8" spans="1:4" x14ac:dyDescent="0.35">
      <c r="A8" s="428"/>
      <c r="B8" s="206" t="s">
        <v>1548</v>
      </c>
      <c r="C8" s="206" t="s">
        <v>1498</v>
      </c>
      <c r="D8" s="210" t="s">
        <v>1554</v>
      </c>
    </row>
    <row r="9" spans="1:4" x14ac:dyDescent="0.35">
      <c r="A9" s="428"/>
      <c r="B9" s="206" t="s">
        <v>1548</v>
      </c>
      <c r="C9" s="206" t="s">
        <v>1498</v>
      </c>
      <c r="D9" s="210" t="s">
        <v>1551</v>
      </c>
    </row>
    <row r="10" spans="1:4" x14ac:dyDescent="0.35">
      <c r="A10" s="209" t="s">
        <v>1516</v>
      </c>
      <c r="B10" s="206" t="s">
        <v>1510</v>
      </c>
      <c r="C10" s="206" t="s">
        <v>1514</v>
      </c>
      <c r="D10" s="210" t="s">
        <v>1517</v>
      </c>
    </row>
    <row r="11" spans="1:4" x14ac:dyDescent="0.35">
      <c r="A11" s="428" t="s">
        <v>1500</v>
      </c>
      <c r="B11" s="427" t="s">
        <v>1518</v>
      </c>
      <c r="C11" s="427" t="s">
        <v>1498</v>
      </c>
      <c r="D11" s="210" t="s">
        <v>1614</v>
      </c>
    </row>
    <row r="12" spans="1:4" x14ac:dyDescent="0.35">
      <c r="A12" s="428"/>
      <c r="B12" s="427"/>
      <c r="C12" s="427"/>
      <c r="D12" s="210" t="s">
        <v>1561</v>
      </c>
    </row>
    <row r="13" spans="1:4" x14ac:dyDescent="0.35">
      <c r="A13" s="428"/>
      <c r="B13" s="206" t="s">
        <v>1560</v>
      </c>
      <c r="C13" s="206" t="s">
        <v>1596</v>
      </c>
      <c r="D13" s="210" t="s">
        <v>1562</v>
      </c>
    </row>
    <row r="14" spans="1:4" x14ac:dyDescent="0.35">
      <c r="A14" s="428"/>
      <c r="B14" s="206" t="s">
        <v>1519</v>
      </c>
      <c r="C14" s="206" t="s">
        <v>1498</v>
      </c>
      <c r="D14" s="210" t="s">
        <v>1501</v>
      </c>
    </row>
    <row r="15" spans="1:4" x14ac:dyDescent="0.35">
      <c r="A15" s="206" t="s">
        <v>1502</v>
      </c>
      <c r="B15" s="206" t="s">
        <v>1520</v>
      </c>
      <c r="C15" s="206" t="s">
        <v>1498</v>
      </c>
      <c r="D15" s="210" t="s">
        <v>1503</v>
      </c>
    </row>
    <row r="16" spans="1:4" ht="29" x14ac:dyDescent="0.35">
      <c r="A16" s="206" t="s">
        <v>1618</v>
      </c>
      <c r="B16" s="206" t="s">
        <v>1619</v>
      </c>
      <c r="C16" s="206" t="s">
        <v>1514</v>
      </c>
      <c r="D16" s="210" t="s">
        <v>1620</v>
      </c>
    </row>
    <row r="17" spans="1:4" ht="29" x14ac:dyDescent="0.35">
      <c r="A17" s="428" t="s">
        <v>1504</v>
      </c>
      <c r="B17" s="206" t="s">
        <v>1521</v>
      </c>
      <c r="C17" s="206" t="s">
        <v>1498</v>
      </c>
      <c r="D17" s="210" t="s">
        <v>1540</v>
      </c>
    </row>
    <row r="18" spans="1:4" x14ac:dyDescent="0.35">
      <c r="A18" s="428"/>
      <c r="B18" s="206" t="s">
        <v>1591</v>
      </c>
      <c r="C18" s="206" t="s">
        <v>1498</v>
      </c>
      <c r="D18" s="210" t="s">
        <v>1592</v>
      </c>
    </row>
    <row r="19" spans="1:4" x14ac:dyDescent="0.35">
      <c r="A19" s="428"/>
      <c r="B19" s="206" t="s">
        <v>1615</v>
      </c>
      <c r="C19" s="206" t="s">
        <v>1596</v>
      </c>
      <c r="D19" s="210" t="s">
        <v>1617</v>
      </c>
    </row>
    <row r="20" spans="1:4" x14ac:dyDescent="0.35">
      <c r="A20" s="206" t="s">
        <v>1528</v>
      </c>
      <c r="B20" s="206" t="s">
        <v>1541</v>
      </c>
      <c r="C20" s="206" t="s">
        <v>1498</v>
      </c>
      <c r="D20" s="210" t="s">
        <v>1593</v>
      </c>
    </row>
    <row r="21" spans="1:4" x14ac:dyDescent="0.35">
      <c r="A21" s="206" t="s">
        <v>1527</v>
      </c>
      <c r="B21" s="206" t="s">
        <v>1542</v>
      </c>
      <c r="C21" s="206" t="s">
        <v>1498</v>
      </c>
      <c r="D21" s="210" t="s">
        <v>1593</v>
      </c>
    </row>
    <row r="22" spans="1:4" x14ac:dyDescent="0.35">
      <c r="A22" s="206" t="s">
        <v>1505</v>
      </c>
      <c r="B22" s="206" t="s">
        <v>1522</v>
      </c>
      <c r="C22" s="209" t="s">
        <v>1498</v>
      </c>
      <c r="D22" s="210" t="s">
        <v>1594</v>
      </c>
    </row>
    <row r="23" spans="1:4" x14ac:dyDescent="0.35">
      <c r="A23" s="206" t="s">
        <v>1506</v>
      </c>
      <c r="B23" s="206" t="s">
        <v>1523</v>
      </c>
      <c r="C23" s="206" t="s">
        <v>1498</v>
      </c>
      <c r="D23" s="210" t="s">
        <v>1593</v>
      </c>
    </row>
    <row r="24" spans="1:4" x14ac:dyDescent="0.35">
      <c r="A24" s="206" t="s">
        <v>1507</v>
      </c>
      <c r="B24" s="206" t="s">
        <v>1524</v>
      </c>
      <c r="C24" s="206" t="s">
        <v>1498</v>
      </c>
      <c r="D24" s="210" t="s">
        <v>1593</v>
      </c>
    </row>
    <row r="25" spans="1:4" ht="29" x14ac:dyDescent="0.35">
      <c r="A25" s="206" t="s">
        <v>1508</v>
      </c>
      <c r="B25" s="206" t="s">
        <v>1595</v>
      </c>
      <c r="C25" s="206" t="s">
        <v>1596</v>
      </c>
      <c r="D25" s="210" t="s">
        <v>1597</v>
      </c>
    </row>
    <row r="26" spans="1:4" x14ac:dyDescent="0.35">
      <c r="A26" s="206" t="s">
        <v>707</v>
      </c>
      <c r="B26" s="206" t="s">
        <v>1544</v>
      </c>
      <c r="C26" s="206" t="s">
        <v>1498</v>
      </c>
      <c r="D26" s="210" t="s">
        <v>1593</v>
      </c>
    </row>
    <row r="27" spans="1:4" ht="29" x14ac:dyDescent="0.35">
      <c r="A27" s="427" t="s">
        <v>520</v>
      </c>
      <c r="B27" s="427" t="s">
        <v>1525</v>
      </c>
      <c r="C27" s="427" t="s">
        <v>1498</v>
      </c>
      <c r="D27" s="210" t="s">
        <v>1598</v>
      </c>
    </row>
    <row r="28" spans="1:4" x14ac:dyDescent="0.35">
      <c r="A28" s="427"/>
      <c r="B28" s="427"/>
      <c r="C28" s="427"/>
      <c r="D28" s="210" t="s">
        <v>1599</v>
      </c>
    </row>
    <row r="29" spans="1:4" ht="29" x14ac:dyDescent="0.35">
      <c r="A29" s="427"/>
      <c r="B29" s="427"/>
      <c r="C29" s="427"/>
      <c r="D29" s="210" t="s">
        <v>1600</v>
      </c>
    </row>
    <row r="30" spans="1:4" x14ac:dyDescent="0.35">
      <c r="A30" s="427"/>
      <c r="B30" s="427"/>
      <c r="C30" s="427"/>
      <c r="D30" s="210" t="s">
        <v>1601</v>
      </c>
    </row>
    <row r="31" spans="1:4" x14ac:dyDescent="0.35">
      <c r="A31" s="427" t="s">
        <v>1509</v>
      </c>
      <c r="B31" s="427" t="s">
        <v>1510</v>
      </c>
      <c r="C31" s="427" t="s">
        <v>1498</v>
      </c>
      <c r="D31" s="210" t="s">
        <v>1602</v>
      </c>
    </row>
    <row r="32" spans="1:4" ht="29" x14ac:dyDescent="0.35">
      <c r="A32" s="427"/>
      <c r="B32" s="427"/>
      <c r="C32" s="427"/>
      <c r="D32" s="210" t="s">
        <v>1603</v>
      </c>
    </row>
    <row r="33" spans="1:4" x14ac:dyDescent="0.35">
      <c r="A33" s="427" t="s">
        <v>1511</v>
      </c>
      <c r="B33" s="206" t="s">
        <v>1510</v>
      </c>
      <c r="C33" s="206" t="s">
        <v>1596</v>
      </c>
      <c r="D33" s="210" t="s">
        <v>1604</v>
      </c>
    </row>
    <row r="34" spans="1:4" x14ac:dyDescent="0.35">
      <c r="A34" s="427"/>
      <c r="B34" s="206" t="s">
        <v>1605</v>
      </c>
      <c r="C34" s="206" t="s">
        <v>1498</v>
      </c>
      <c r="D34" s="210" t="s">
        <v>1512</v>
      </c>
    </row>
    <row r="35" spans="1:4" x14ac:dyDescent="0.35">
      <c r="A35" s="206" t="s">
        <v>1513</v>
      </c>
      <c r="B35" s="206" t="s">
        <v>1606</v>
      </c>
      <c r="C35" s="206" t="s">
        <v>1498</v>
      </c>
      <c r="D35" s="210" t="s">
        <v>1515</v>
      </c>
    </row>
  </sheetData>
  <mergeCells count="13">
    <mergeCell ref="A3:A4"/>
    <mergeCell ref="C27:C30"/>
    <mergeCell ref="A31:A32"/>
    <mergeCell ref="B31:B32"/>
    <mergeCell ref="C31:C32"/>
    <mergeCell ref="B27:B30"/>
    <mergeCell ref="B11:B12"/>
    <mergeCell ref="C11:C12"/>
    <mergeCell ref="A33:A34"/>
    <mergeCell ref="A5:A9"/>
    <mergeCell ref="A11:A14"/>
    <mergeCell ref="A27:A30"/>
    <mergeCell ref="A17:A19"/>
  </mergeCells>
  <phoneticPr fontId="47"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tabColor rgb="FF92D050"/>
  </sheetPr>
  <dimension ref="A1:I114"/>
  <sheetViews>
    <sheetView topLeftCell="A42" workbookViewId="0"/>
  </sheetViews>
  <sheetFormatPr defaultColWidth="9.1796875" defaultRowHeight="14.15" customHeight="1" x14ac:dyDescent="0.35"/>
  <cols>
    <col min="1" max="1" width="1.1796875" style="31" customWidth="1"/>
    <col min="2" max="2" width="38" style="1" customWidth="1"/>
    <col min="3" max="3" width="11.26953125" style="1" customWidth="1"/>
    <col min="4" max="4" width="1" style="1" customWidth="1"/>
    <col min="5" max="5" width="4" style="1" customWidth="1"/>
    <col min="6" max="6" width="0.81640625" customWidth="1"/>
    <col min="7" max="7" width="15" style="1" customWidth="1"/>
    <col min="8" max="8" width="1" style="1" customWidth="1"/>
    <col min="9" max="9" width="14.26953125" style="1" customWidth="1"/>
    <col min="10" max="16384" width="9.1796875" style="1"/>
  </cols>
  <sheetData>
    <row r="1" spans="1:9" s="245" customFormat="1" ht="14.15" hidden="1" customHeight="1" x14ac:dyDescent="0.35">
      <c r="A1" s="243">
        <f>ROUNDDOWN(CCE!A25,0)+1.1</f>
        <v>23.1</v>
      </c>
      <c r="B1" s="255" t="str">
        <f>"Note "&amp;A1&amp; " Trade and other payables"</f>
        <v>Note 23.1 Trade and other payables</v>
      </c>
      <c r="C1" s="255"/>
      <c r="D1" s="255"/>
      <c r="E1" s="255"/>
      <c r="F1" s="237"/>
    </row>
    <row r="2" spans="1:9" s="245" customFormat="1" ht="28.15" hidden="1" customHeight="1" x14ac:dyDescent="0.35">
      <c r="A2" s="243"/>
      <c r="F2" s="237"/>
      <c r="G2" s="266" t="str">
        <f>TEXT(CurrentYearEnd, "d mmmm yyyy")</f>
        <v>31 March 2025</v>
      </c>
      <c r="H2" s="218"/>
      <c r="I2" s="266" t="str">
        <f>TEXT(ComparativeYearEnd, "d mmmm yyyy")</f>
        <v>31 March 2024</v>
      </c>
    </row>
    <row r="3" spans="1:9" s="245" customFormat="1" ht="14.15" hidden="1" customHeight="1" x14ac:dyDescent="0.35">
      <c r="A3" s="243"/>
      <c r="F3" s="237"/>
      <c r="G3" s="266" t="s">
        <v>542</v>
      </c>
      <c r="H3" s="218"/>
      <c r="I3" s="266" t="s">
        <v>542</v>
      </c>
    </row>
    <row r="4" spans="1:9" s="245" customFormat="1" ht="14.15" hidden="1" customHeight="1" x14ac:dyDescent="0.35">
      <c r="A4" s="243"/>
      <c r="B4" s="255" t="s">
        <v>1042</v>
      </c>
      <c r="F4" s="237"/>
      <c r="G4" s="328"/>
      <c r="H4" s="218"/>
      <c r="I4" s="328"/>
    </row>
    <row r="5" spans="1:9" s="245" customFormat="1" ht="14.15" hidden="1" customHeight="1" x14ac:dyDescent="0.35">
      <c r="A5" s="243"/>
      <c r="B5" s="216" t="s">
        <v>1043</v>
      </c>
      <c r="F5" s="237"/>
      <c r="G5" s="218">
        <v>620</v>
      </c>
      <c r="H5" s="218"/>
      <c r="I5" s="218">
        <v>675</v>
      </c>
    </row>
    <row r="6" spans="1:9" s="245" customFormat="1" ht="14.15" hidden="1" customHeight="1" x14ac:dyDescent="0.35">
      <c r="A6" s="243"/>
      <c r="B6" s="216" t="s">
        <v>1044</v>
      </c>
      <c r="F6" s="237"/>
      <c r="G6" s="218">
        <v>6846</v>
      </c>
      <c r="H6" s="218"/>
      <c r="I6" s="218">
        <v>7817</v>
      </c>
    </row>
    <row r="7" spans="1:9" s="245" customFormat="1" ht="13.75" hidden="1" customHeight="1" x14ac:dyDescent="0.35">
      <c r="A7" s="243"/>
      <c r="B7" s="216" t="s">
        <v>1045</v>
      </c>
      <c r="F7" s="237"/>
      <c r="G7" s="218">
        <v>38105</v>
      </c>
      <c r="H7" s="218"/>
      <c r="I7" s="218">
        <v>40546</v>
      </c>
    </row>
    <row r="8" spans="1:9" s="245" customFormat="1" ht="13.75" hidden="1" customHeight="1" x14ac:dyDescent="0.35">
      <c r="A8" s="243"/>
      <c r="B8" s="216" t="s">
        <v>1046</v>
      </c>
      <c r="F8" s="237"/>
      <c r="G8" s="218">
        <v>0</v>
      </c>
      <c r="H8" s="218"/>
      <c r="I8" s="218">
        <v>0</v>
      </c>
    </row>
    <row r="9" spans="1:9" s="245" customFormat="1" ht="13.75" hidden="1" customHeight="1" x14ac:dyDescent="0.35">
      <c r="A9" s="243"/>
      <c r="B9" s="216" t="s">
        <v>1047</v>
      </c>
      <c r="F9" s="237"/>
      <c r="G9" s="218">
        <v>0</v>
      </c>
      <c r="H9" s="218"/>
      <c r="I9" s="218">
        <v>0</v>
      </c>
    </row>
    <row r="10" spans="1:9" s="245" customFormat="1" ht="14.15" hidden="1" customHeight="1" x14ac:dyDescent="0.35">
      <c r="A10" s="243"/>
      <c r="B10" s="216" t="s">
        <v>1048</v>
      </c>
      <c r="F10" s="237"/>
      <c r="G10" s="218">
        <v>14</v>
      </c>
      <c r="H10" s="218"/>
      <c r="I10" s="218">
        <v>18</v>
      </c>
    </row>
    <row r="11" spans="1:9" s="245" customFormat="1" ht="14.15" hidden="1" customHeight="1" x14ac:dyDescent="0.35">
      <c r="A11" s="243"/>
      <c r="B11" s="216" t="s">
        <v>1049</v>
      </c>
      <c r="F11" s="237"/>
      <c r="G11" s="218">
        <v>0</v>
      </c>
      <c r="H11" s="218"/>
      <c r="I11" s="218">
        <v>1726</v>
      </c>
    </row>
    <row r="12" spans="1:9" s="245" customFormat="1" ht="14.15" hidden="1" customHeight="1" x14ac:dyDescent="0.35">
      <c r="A12" s="243"/>
      <c r="B12" s="216" t="s">
        <v>1050</v>
      </c>
      <c r="F12" s="237"/>
      <c r="G12" s="218">
        <v>151</v>
      </c>
      <c r="H12" s="218"/>
      <c r="I12" s="218">
        <v>142</v>
      </c>
    </row>
    <row r="13" spans="1:9" s="245" customFormat="1" ht="14.15" hidden="1" customHeight="1" x14ac:dyDescent="0.35">
      <c r="A13" s="243"/>
      <c r="B13" s="216" t="s">
        <v>1051</v>
      </c>
      <c r="F13" s="237"/>
      <c r="G13" s="218">
        <v>0</v>
      </c>
      <c r="H13" s="218"/>
      <c r="I13" s="218">
        <v>0</v>
      </c>
    </row>
    <row r="14" spans="1:9" s="245" customFormat="1" ht="14.15" hidden="1" customHeight="1" x14ac:dyDescent="0.35">
      <c r="A14" s="243"/>
      <c r="B14" s="216" t="s">
        <v>1372</v>
      </c>
      <c r="F14" s="237"/>
      <c r="G14" s="218">
        <v>9</v>
      </c>
      <c r="H14" s="218"/>
      <c r="I14" s="218">
        <v>11</v>
      </c>
    </row>
    <row r="15" spans="1:9" s="245" customFormat="1" ht="14.15" hidden="1" customHeight="1" x14ac:dyDescent="0.35">
      <c r="A15" s="243"/>
      <c r="B15" s="216" t="s">
        <v>1052</v>
      </c>
      <c r="F15" s="237"/>
      <c r="G15" s="218">
        <v>152</v>
      </c>
      <c r="H15" s="218"/>
      <c r="I15" s="218">
        <v>155</v>
      </c>
    </row>
    <row r="16" spans="1:9" s="245" customFormat="1" ht="14.15" hidden="1" customHeight="1" thickBot="1" x14ac:dyDescent="0.4">
      <c r="A16" s="243"/>
      <c r="B16" s="221" t="s">
        <v>1053</v>
      </c>
      <c r="F16" s="237"/>
      <c r="G16" s="290">
        <f>SUM(G4:G15)</f>
        <v>45897</v>
      </c>
      <c r="H16" s="218"/>
      <c r="I16" s="290">
        <f>SUM(I4:I15)</f>
        <v>51090</v>
      </c>
    </row>
    <row r="17" spans="1:9" s="245" customFormat="1" ht="8.5" hidden="1" customHeight="1" thickTop="1" x14ac:dyDescent="0.35">
      <c r="A17" s="243"/>
      <c r="B17" s="255"/>
      <c r="F17" s="237"/>
      <c r="G17" s="329"/>
      <c r="H17" s="218"/>
      <c r="I17" s="329"/>
    </row>
    <row r="18" spans="1:9" s="245" customFormat="1" ht="14.15" hidden="1" customHeight="1" x14ac:dyDescent="0.35">
      <c r="A18" s="243"/>
      <c r="B18" s="255" t="s">
        <v>994</v>
      </c>
      <c r="F18" s="237"/>
      <c r="G18" s="328"/>
      <c r="H18" s="218"/>
      <c r="I18" s="328"/>
    </row>
    <row r="19" spans="1:9" s="245" customFormat="1" ht="14.15" hidden="1" customHeight="1" x14ac:dyDescent="0.35">
      <c r="A19" s="243"/>
      <c r="B19" s="216" t="s">
        <v>1043</v>
      </c>
      <c r="F19" s="237"/>
      <c r="G19" s="218">
        <v>0</v>
      </c>
      <c r="H19" s="218"/>
      <c r="I19" s="218">
        <v>0</v>
      </c>
    </row>
    <row r="20" spans="1:9" s="245" customFormat="1" ht="14.15" hidden="1" customHeight="1" x14ac:dyDescent="0.35">
      <c r="A20" s="243"/>
      <c r="B20" s="216" t="s">
        <v>1044</v>
      </c>
      <c r="F20" s="237"/>
      <c r="G20" s="218">
        <v>0</v>
      </c>
      <c r="H20" s="218"/>
      <c r="I20" s="218">
        <v>0</v>
      </c>
    </row>
    <row r="21" spans="1:9" s="245" customFormat="1" ht="14.15" hidden="1" customHeight="1" x14ac:dyDescent="0.35">
      <c r="A21" s="243"/>
      <c r="B21" s="216" t="s">
        <v>1045</v>
      </c>
      <c r="F21" s="237"/>
      <c r="G21" s="218">
        <v>0</v>
      </c>
      <c r="H21" s="218"/>
      <c r="I21" s="218">
        <v>0</v>
      </c>
    </row>
    <row r="22" spans="1:9" s="245" customFormat="1" ht="13.75" hidden="1" customHeight="1" x14ac:dyDescent="0.35">
      <c r="A22" s="243"/>
      <c r="B22" s="216" t="s">
        <v>1046</v>
      </c>
      <c r="F22" s="237"/>
      <c r="G22" s="218">
        <v>0</v>
      </c>
      <c r="H22" s="218"/>
      <c r="I22" s="218">
        <v>0</v>
      </c>
    </row>
    <row r="23" spans="1:9" s="245" customFormat="1" ht="13.75" hidden="1" customHeight="1" x14ac:dyDescent="0.35">
      <c r="A23" s="243"/>
      <c r="B23" s="216" t="s">
        <v>1047</v>
      </c>
      <c r="F23" s="237"/>
      <c r="G23" s="218">
        <v>0</v>
      </c>
      <c r="H23" s="218"/>
      <c r="I23" s="218">
        <v>0</v>
      </c>
    </row>
    <row r="24" spans="1:9" s="245" customFormat="1" ht="14.15" hidden="1" customHeight="1" x14ac:dyDescent="0.35">
      <c r="A24" s="243"/>
      <c r="B24" s="216" t="s">
        <v>1049</v>
      </c>
      <c r="F24" s="237"/>
      <c r="G24" s="218">
        <v>0</v>
      </c>
      <c r="H24" s="218"/>
      <c r="I24" s="218">
        <v>0</v>
      </c>
    </row>
    <row r="25" spans="1:9" s="245" customFormat="1" ht="14.15" hidden="1" customHeight="1" x14ac:dyDescent="0.35">
      <c r="A25" s="243"/>
      <c r="B25" s="216" t="s">
        <v>1050</v>
      </c>
      <c r="F25" s="237"/>
      <c r="G25" s="218">
        <v>0</v>
      </c>
      <c r="H25" s="218"/>
      <c r="I25" s="218">
        <v>0</v>
      </c>
    </row>
    <row r="26" spans="1:9" s="245" customFormat="1" ht="14.15" hidden="1" customHeight="1" x14ac:dyDescent="0.35">
      <c r="A26" s="243"/>
      <c r="B26" s="216" t="s">
        <v>1052</v>
      </c>
      <c r="F26" s="237"/>
      <c r="G26" s="218">
        <v>0</v>
      </c>
      <c r="H26" s="218"/>
      <c r="I26" s="218">
        <v>0</v>
      </c>
    </row>
    <row r="27" spans="1:9" s="245" customFormat="1" ht="14.15" hidden="1" customHeight="1" thickBot="1" x14ac:dyDescent="0.4">
      <c r="A27" s="243"/>
      <c r="B27" s="221" t="s">
        <v>1054</v>
      </c>
      <c r="F27" s="237"/>
      <c r="G27" s="290">
        <f>SUM(G19:G26)</f>
        <v>0</v>
      </c>
      <c r="H27" s="218"/>
      <c r="I27" s="290">
        <f>SUM(I19:I26)</f>
        <v>0</v>
      </c>
    </row>
    <row r="28" spans="1:9" s="245" customFormat="1" ht="14.15" hidden="1" customHeight="1" thickTop="1" x14ac:dyDescent="0.35">
      <c r="A28" s="243"/>
      <c r="B28" s="255"/>
      <c r="F28" s="237"/>
    </row>
    <row r="29" spans="1:9" s="245" customFormat="1" ht="14.15" hidden="1" customHeight="1" x14ac:dyDescent="0.35">
      <c r="A29" s="243"/>
      <c r="B29" s="330" t="s">
        <v>1055</v>
      </c>
      <c r="F29" s="237"/>
    </row>
    <row r="30" spans="1:9" s="245" customFormat="1" ht="14.15" hidden="1" customHeight="1" x14ac:dyDescent="0.35">
      <c r="A30" s="243"/>
      <c r="B30" s="331" t="s">
        <v>977</v>
      </c>
      <c r="F30" s="237"/>
      <c r="G30" s="218">
        <v>890</v>
      </c>
      <c r="H30" s="218"/>
      <c r="I30" s="218">
        <v>383</v>
      </c>
    </row>
    <row r="31" spans="1:9" s="245" customFormat="1" ht="13.75" hidden="1" customHeight="1" x14ac:dyDescent="0.35">
      <c r="A31" s="243"/>
      <c r="B31" s="331" t="s">
        <v>994</v>
      </c>
      <c r="F31" s="237"/>
      <c r="G31" s="218">
        <v>0</v>
      </c>
      <c r="H31" s="218"/>
      <c r="I31" s="218">
        <v>0</v>
      </c>
    </row>
    <row r="32" spans="1:9" s="245" customFormat="1" ht="13.75" hidden="1" customHeight="1" x14ac:dyDescent="0.35">
      <c r="A32" s="243"/>
      <c r="B32" s="255"/>
      <c r="F32" s="237"/>
    </row>
    <row r="33" spans="1:9" s="245" customFormat="1" ht="13.75" hidden="1" customHeight="1" x14ac:dyDescent="0.35">
      <c r="A33" s="243"/>
      <c r="B33" s="255"/>
      <c r="F33" s="237"/>
    </row>
    <row r="34" spans="1:9" s="245" customFormat="1" ht="14.15" hidden="1" customHeight="1" x14ac:dyDescent="0.35">
      <c r="A34" s="243">
        <f>$A$1+0.1</f>
        <v>23.200000000000003</v>
      </c>
      <c r="B34" s="221" t="str">
        <f>"Note "&amp;A34&amp; " Early retirements in NHS payables above"</f>
        <v>Note 23.2 Early retirements in NHS payables above</v>
      </c>
      <c r="F34" s="237"/>
    </row>
    <row r="35" spans="1:9" s="245" customFormat="1" ht="14.15" hidden="1" customHeight="1" x14ac:dyDescent="0.35">
      <c r="A35" s="243"/>
      <c r="B35" s="268" t="s">
        <v>1056</v>
      </c>
      <c r="C35" s="266"/>
      <c r="D35" s="266"/>
      <c r="E35" s="266"/>
      <c r="F35" s="237"/>
    </row>
    <row r="36" spans="1:9" s="245" customFormat="1" ht="9.75" hidden="1" customHeight="1" x14ac:dyDescent="0.35">
      <c r="A36" s="243"/>
      <c r="B36" s="268"/>
      <c r="C36" s="266"/>
      <c r="D36" s="266"/>
      <c r="E36" s="266"/>
      <c r="F36" s="237"/>
    </row>
    <row r="37" spans="1:9" s="245" customFormat="1" ht="28.15" hidden="1" customHeight="1" x14ac:dyDescent="0.35">
      <c r="A37" s="243"/>
      <c r="B37" s="255"/>
      <c r="C37" s="266" t="str">
        <f>TEXT(CurrentYearEnd, "d mmmm yyyy")</f>
        <v>31 March 2025</v>
      </c>
      <c r="D37" s="266"/>
      <c r="E37" s="266" t="str">
        <f>TEXT(CurrentYearEnd, "d mmmm yyyy")</f>
        <v>31 March 2025</v>
      </c>
      <c r="F37" s="237"/>
      <c r="G37" s="266" t="str">
        <f>TEXT(ComparativeYearEnd, "d mmmm yyyy")</f>
        <v>31 March 2024</v>
      </c>
      <c r="H37" s="266"/>
      <c r="I37" s="266" t="str">
        <f>TEXT(ComparativeYearEnd, "d mmmm yyyy")</f>
        <v>31 March 2024</v>
      </c>
    </row>
    <row r="38" spans="1:9" s="245" customFormat="1" ht="14.15" hidden="1" customHeight="1" x14ac:dyDescent="0.35">
      <c r="A38" s="243"/>
      <c r="C38" s="266" t="s">
        <v>542</v>
      </c>
      <c r="D38" s="266"/>
      <c r="E38" s="266" t="s">
        <v>1057</v>
      </c>
      <c r="F38" s="237"/>
      <c r="G38" s="266" t="s">
        <v>542</v>
      </c>
      <c r="H38" s="266"/>
      <c r="I38" s="266" t="s">
        <v>1057</v>
      </c>
    </row>
    <row r="39" spans="1:9" s="245" customFormat="1" ht="25.15" hidden="1" customHeight="1" x14ac:dyDescent="0.35">
      <c r="A39" s="243"/>
      <c r="B39" s="245" t="s">
        <v>1058</v>
      </c>
      <c r="C39" s="218">
        <v>0</v>
      </c>
      <c r="D39" s="218"/>
      <c r="E39" s="218"/>
      <c r="F39" s="237"/>
      <c r="G39" s="301">
        <v>0</v>
      </c>
      <c r="H39" s="301"/>
    </row>
    <row r="40" spans="1:9" s="245" customFormat="1" ht="14.15" hidden="1" customHeight="1" x14ac:dyDescent="0.35">
      <c r="A40" s="243"/>
      <c r="B40" s="245" t="s">
        <v>1059</v>
      </c>
      <c r="C40" s="218"/>
      <c r="D40" s="218"/>
      <c r="E40" s="218">
        <v>0</v>
      </c>
      <c r="F40" s="237"/>
      <c r="G40" s="301"/>
      <c r="H40" s="301"/>
      <c r="I40" s="218">
        <v>0</v>
      </c>
    </row>
    <row r="41" spans="1:9" s="245" customFormat="1" ht="14.15" hidden="1" customHeight="1" x14ac:dyDescent="0.35">
      <c r="A41" s="243"/>
      <c r="C41" s="218"/>
      <c r="D41" s="218"/>
      <c r="E41" s="218"/>
      <c r="F41" s="237"/>
      <c r="G41" s="301"/>
      <c r="H41" s="301"/>
    </row>
    <row r="42" spans="1:9" ht="14.15" customHeight="1" x14ac:dyDescent="0.35">
      <c r="A42" s="31">
        <f>ROUNDDOWN(A34,0)+1</f>
        <v>24</v>
      </c>
      <c r="B42" s="14" t="str">
        <f>"Note "&amp; A42&amp;" Other liabilities"</f>
        <v>Note 24 Other liabilities</v>
      </c>
      <c r="C42" s="14"/>
      <c r="D42" s="14"/>
      <c r="E42" s="14"/>
      <c r="G42" s="23"/>
      <c r="H42" s="23"/>
    </row>
    <row r="43" spans="1:9" ht="14.5" x14ac:dyDescent="0.35">
      <c r="B43" s="14"/>
      <c r="G43" s="80" t="str">
        <f>TEXT(CurrentYearEnd, "d mmmm yyyy")</f>
        <v>31 March 2025</v>
      </c>
      <c r="H43" s="80"/>
      <c r="I43" s="80" t="str">
        <f>TEXT(ComparativeYearEnd, "d mmmm yyyy")</f>
        <v>31 March 2024</v>
      </c>
    </row>
    <row r="44" spans="1:9" ht="14.15" customHeight="1" x14ac:dyDescent="0.35">
      <c r="B44" s="14"/>
      <c r="G44" s="80" t="s">
        <v>542</v>
      </c>
      <c r="H44" s="80"/>
      <c r="I44" s="80" t="s">
        <v>542</v>
      </c>
    </row>
    <row r="45" spans="1:9" ht="14.15" customHeight="1" x14ac:dyDescent="0.35">
      <c r="B45" s="14" t="s">
        <v>1042</v>
      </c>
      <c r="G45" s="41"/>
      <c r="H45" s="41"/>
      <c r="I45" s="41"/>
    </row>
    <row r="46" spans="1:9" ht="14.15" customHeight="1" x14ac:dyDescent="0.35">
      <c r="B46" s="105" t="s">
        <v>1060</v>
      </c>
      <c r="G46" s="41">
        <v>2222</v>
      </c>
      <c r="H46" s="41"/>
      <c r="I46" s="41">
        <v>2844</v>
      </c>
    </row>
    <row r="47" spans="1:9" ht="14.15" customHeight="1" thickBot="1" x14ac:dyDescent="0.4">
      <c r="B47" s="93" t="s">
        <v>1064</v>
      </c>
      <c r="G47" s="42">
        <f>SUM(G43:G46)</f>
        <v>2222</v>
      </c>
      <c r="H47" s="41"/>
      <c r="I47" s="42">
        <f>SUM(I46)</f>
        <v>2844</v>
      </c>
    </row>
    <row r="48" spans="1:9" ht="14.15" customHeight="1" thickTop="1" x14ac:dyDescent="0.35"/>
    <row r="49" spans="1:9" ht="14.15" customHeight="1" x14ac:dyDescent="0.35">
      <c r="A49" s="31">
        <f>ROUNDDOWN(A42,0)+1.1</f>
        <v>25.1</v>
      </c>
      <c r="B49" s="14" t="str">
        <f>"Note "&amp; A49&amp; " Borrowings"</f>
        <v>Note 25.1 Borrowings</v>
      </c>
      <c r="C49" s="14"/>
      <c r="D49" s="14"/>
      <c r="E49" s="14"/>
    </row>
    <row r="50" spans="1:9" ht="14.15" customHeight="1" x14ac:dyDescent="0.35">
      <c r="B50" s="14"/>
      <c r="G50" s="80" t="str">
        <f>TEXT(CurrentYearEnd, "d mmmm yyyy")</f>
        <v>31 March 2025</v>
      </c>
      <c r="H50" s="80"/>
      <c r="I50" s="80" t="str">
        <f>TEXT(ComparativeYearEnd, "d mmmm yyyy")</f>
        <v>31 March 2024</v>
      </c>
    </row>
    <row r="51" spans="1:9" ht="14.15" customHeight="1" x14ac:dyDescent="0.35">
      <c r="B51" s="14"/>
      <c r="G51" s="80" t="s">
        <v>542</v>
      </c>
      <c r="H51" s="80"/>
      <c r="I51" s="80" t="s">
        <v>542</v>
      </c>
    </row>
    <row r="52" spans="1:9" ht="14.15" customHeight="1" x14ac:dyDescent="0.35">
      <c r="B52" s="14" t="s">
        <v>1042</v>
      </c>
      <c r="C52" s="22"/>
      <c r="D52" s="22"/>
      <c r="E52" s="22"/>
    </row>
    <row r="53" spans="1:9" ht="14.15" customHeight="1" x14ac:dyDescent="0.35">
      <c r="B53" s="105" t="s">
        <v>1452</v>
      </c>
      <c r="G53" s="41">
        <v>4515</v>
      </c>
      <c r="H53" s="41"/>
      <c r="I53" s="41">
        <v>3318.8360000000002</v>
      </c>
    </row>
    <row r="54" spans="1:9" ht="14.15" customHeight="1" thickBot="1" x14ac:dyDescent="0.4">
      <c r="B54" s="93" t="s">
        <v>1071</v>
      </c>
      <c r="G54" s="42">
        <f>SUM(G53)</f>
        <v>4515</v>
      </c>
      <c r="H54" s="41"/>
      <c r="I54" s="42">
        <f>SUM(I53)</f>
        <v>3318.8360000000002</v>
      </c>
    </row>
    <row r="55" spans="1:9" ht="14.15" customHeight="1" thickTop="1" x14ac:dyDescent="0.35"/>
    <row r="56" spans="1:9" ht="14.15" customHeight="1" x14ac:dyDescent="0.35">
      <c r="B56" s="14" t="s">
        <v>994</v>
      </c>
    </row>
    <row r="57" spans="1:9" ht="14.15" customHeight="1" x14ac:dyDescent="0.35">
      <c r="B57" s="105" t="s">
        <v>1452</v>
      </c>
      <c r="G57" s="41">
        <v>17326</v>
      </c>
      <c r="H57" s="41"/>
      <c r="I57" s="41">
        <v>15896.255999999999</v>
      </c>
    </row>
    <row r="58" spans="1:9" ht="14.15" customHeight="1" thickBot="1" x14ac:dyDescent="0.4">
      <c r="B58" s="93" t="s">
        <v>1072</v>
      </c>
      <c r="G58" s="42">
        <f>SUM(G57)</f>
        <v>17326</v>
      </c>
      <c r="H58" s="41"/>
      <c r="I58" s="42">
        <f>SUM(I57)</f>
        <v>15896.255999999999</v>
      </c>
    </row>
    <row r="59" spans="1:9" ht="14.15" customHeight="1" thickTop="1" x14ac:dyDescent="0.35"/>
    <row r="60" spans="1:9" ht="14.15" customHeight="1" x14ac:dyDescent="0.35">
      <c r="A60" s="31">
        <f>A49+0.1</f>
        <v>25.200000000000003</v>
      </c>
      <c r="B60" s="93" t="str">
        <f>"Note "&amp; A60&amp; " Reconciliation of liabilities arising from financing activities"</f>
        <v>Note 25.2 Reconciliation of liabilities arising from financing activities</v>
      </c>
    </row>
    <row r="61" spans="1:9" ht="6" customHeight="1" x14ac:dyDescent="0.35">
      <c r="B61" s="93"/>
    </row>
    <row r="62" spans="1:9" ht="14.5" x14ac:dyDescent="0.35">
      <c r="B62" s="14"/>
      <c r="G62" s="80" t="s">
        <v>1480</v>
      </c>
      <c r="I62" s="80" t="s">
        <v>541</v>
      </c>
    </row>
    <row r="63" spans="1:9" ht="14.15" customHeight="1" x14ac:dyDescent="0.35">
      <c r="B63" s="14"/>
      <c r="G63" s="80" t="s">
        <v>542</v>
      </c>
      <c r="I63" s="80" t="s">
        <v>542</v>
      </c>
    </row>
    <row r="64" spans="1:9" ht="14.15" customHeight="1" x14ac:dyDescent="0.35">
      <c r="B64" s="14" t="str">
        <f>"Carrying value at " &amp; TEXT(CurrentYearStart,"d mmmm yyyy")</f>
        <v>Carrying value at 1 April 2024</v>
      </c>
      <c r="G64" s="50">
        <f>G101</f>
        <v>19215</v>
      </c>
      <c r="I64" s="334">
        <f>G64</f>
        <v>19215</v>
      </c>
    </row>
    <row r="65" spans="1:9" s="245" customFormat="1" ht="14.15" hidden="1" customHeight="1" x14ac:dyDescent="0.35">
      <c r="B65" s="330" t="s">
        <v>944</v>
      </c>
      <c r="F65" s="237"/>
      <c r="G65" s="227">
        <v>0</v>
      </c>
      <c r="I65" s="336">
        <f t="shared" ref="I65:I78" si="0">G65</f>
        <v>0</v>
      </c>
    </row>
    <row r="66" spans="1:9" ht="14.15" customHeight="1" x14ac:dyDescent="0.35">
      <c r="A66" s="1"/>
      <c r="B66" s="14" t="s">
        <v>1075</v>
      </c>
      <c r="G66" s="41"/>
      <c r="I66" s="334">
        <f t="shared" si="0"/>
        <v>0</v>
      </c>
    </row>
    <row r="67" spans="1:9" ht="24.75" customHeight="1" x14ac:dyDescent="0.35">
      <c r="A67" s="1"/>
      <c r="B67" s="105" t="s">
        <v>1076</v>
      </c>
      <c r="G67" s="41">
        <v>-3064</v>
      </c>
      <c r="I67" s="334">
        <f t="shared" si="0"/>
        <v>-3064</v>
      </c>
    </row>
    <row r="68" spans="1:9" ht="14.15" customHeight="1" x14ac:dyDescent="0.35">
      <c r="A68" s="1"/>
      <c r="B68" s="105" t="s">
        <v>1077</v>
      </c>
      <c r="G68" s="41">
        <v>-285</v>
      </c>
      <c r="I68" s="334">
        <f t="shared" si="0"/>
        <v>-285</v>
      </c>
    </row>
    <row r="69" spans="1:9" ht="14.15" customHeight="1" x14ac:dyDescent="0.35">
      <c r="B69" s="14" t="s">
        <v>1078</v>
      </c>
      <c r="G69" s="41"/>
      <c r="I69" s="334">
        <f t="shared" si="0"/>
        <v>0</v>
      </c>
    </row>
    <row r="70" spans="1:9" s="245" customFormat="1" ht="14.15" hidden="1" customHeight="1" x14ac:dyDescent="0.35">
      <c r="A70" s="243"/>
      <c r="B70" s="216" t="s">
        <v>927</v>
      </c>
      <c r="F70" s="237"/>
      <c r="G70" s="218">
        <v>0</v>
      </c>
      <c r="I70" s="336">
        <f t="shared" si="0"/>
        <v>0</v>
      </c>
    </row>
    <row r="71" spans="1:9" ht="14.15" customHeight="1" x14ac:dyDescent="0.35">
      <c r="B71" s="105" t="s">
        <v>920</v>
      </c>
      <c r="G71" s="41">
        <v>2662</v>
      </c>
      <c r="I71" s="334">
        <f t="shared" si="0"/>
        <v>2662</v>
      </c>
    </row>
    <row r="72" spans="1:9" ht="14.15" customHeight="1" x14ac:dyDescent="0.35">
      <c r="B72" s="105" t="s">
        <v>1325</v>
      </c>
      <c r="G72" s="41">
        <v>3829</v>
      </c>
      <c r="I72" s="334">
        <f t="shared" si="0"/>
        <v>3829</v>
      </c>
    </row>
    <row r="73" spans="1:9" s="245" customFormat="1" ht="14.15" hidden="1" customHeight="1" x14ac:dyDescent="0.35">
      <c r="A73" s="243"/>
      <c r="B73" s="216" t="s">
        <v>1475</v>
      </c>
      <c r="F73" s="237"/>
      <c r="G73" s="218"/>
      <c r="I73" s="336">
        <f t="shared" si="0"/>
        <v>0</v>
      </c>
    </row>
    <row r="74" spans="1:9" ht="14.15" customHeight="1" x14ac:dyDescent="0.35">
      <c r="B74" s="105" t="s">
        <v>1079</v>
      </c>
      <c r="G74" s="41">
        <v>285</v>
      </c>
      <c r="I74" s="334">
        <f t="shared" si="0"/>
        <v>285</v>
      </c>
    </row>
    <row r="75" spans="1:9" s="245" customFormat="1" ht="14.15" hidden="1" customHeight="1" x14ac:dyDescent="0.35">
      <c r="A75" s="243"/>
      <c r="B75" s="216" t="s">
        <v>1080</v>
      </c>
      <c r="F75" s="237"/>
      <c r="G75" s="218">
        <v>0</v>
      </c>
      <c r="I75" s="336">
        <f t="shared" si="0"/>
        <v>0</v>
      </c>
    </row>
    <row r="76" spans="1:9" s="245" customFormat="1" ht="14.15" hidden="1" customHeight="1" x14ac:dyDescent="0.35">
      <c r="A76" s="243"/>
      <c r="B76" s="216" t="s">
        <v>1081</v>
      </c>
      <c r="F76" s="237"/>
      <c r="G76" s="218">
        <v>0</v>
      </c>
      <c r="I76" s="336">
        <f t="shared" si="0"/>
        <v>0</v>
      </c>
    </row>
    <row r="77" spans="1:9" ht="14.15" customHeight="1" x14ac:dyDescent="0.35">
      <c r="B77" s="105" t="s">
        <v>1082</v>
      </c>
      <c r="G77" s="41">
        <v>-801</v>
      </c>
      <c r="I77" s="334">
        <f t="shared" si="0"/>
        <v>-801</v>
      </c>
    </row>
    <row r="78" spans="1:9" s="245" customFormat="1" ht="14.15" hidden="1" customHeight="1" x14ac:dyDescent="0.35">
      <c r="A78" s="243"/>
      <c r="B78" s="216" t="s">
        <v>1083</v>
      </c>
      <c r="F78" s="237"/>
      <c r="G78" s="218">
        <v>0</v>
      </c>
      <c r="I78" s="336">
        <f t="shared" si="0"/>
        <v>0</v>
      </c>
    </row>
    <row r="79" spans="1:9" ht="14.15" customHeight="1" thickBot="1" x14ac:dyDescent="0.4">
      <c r="B79" s="14" t="str">
        <f>"Carrying value at " &amp; TEXT(CurrentYearEnd,"d mmmm yyyy")</f>
        <v>Carrying value at 31 March 2025</v>
      </c>
      <c r="G79" s="42">
        <f>SUM(G64:G78)</f>
        <v>21841</v>
      </c>
      <c r="I79" s="335">
        <f>SUM(I64:I78)</f>
        <v>21841</v>
      </c>
    </row>
    <row r="80" spans="1:9" ht="6" customHeight="1" thickTop="1" x14ac:dyDescent="0.35">
      <c r="I80" s="13"/>
    </row>
    <row r="81" spans="1:9" ht="14.15" customHeight="1" x14ac:dyDescent="0.35">
      <c r="B81" s="14"/>
      <c r="G81" s="80" t="s">
        <v>1480</v>
      </c>
      <c r="I81" s="80" t="s">
        <v>541</v>
      </c>
    </row>
    <row r="82" spans="1:9" ht="14.15" customHeight="1" x14ac:dyDescent="0.35">
      <c r="B82" s="14"/>
      <c r="G82" s="80" t="s">
        <v>542</v>
      </c>
      <c r="I82" s="80" t="s">
        <v>542</v>
      </c>
    </row>
    <row r="83" spans="1:9" ht="14.15" customHeight="1" x14ac:dyDescent="0.35">
      <c r="B83" s="14" t="str">
        <f>"Carrying value at " &amp; TEXT(ComparativeYearStart,"d mmmm yyyy")</f>
        <v>Carrying value at 1 April 2023</v>
      </c>
      <c r="G83" s="50">
        <v>19987</v>
      </c>
      <c r="I83" s="334">
        <f>G83</f>
        <v>19987</v>
      </c>
    </row>
    <row r="84" spans="1:9" s="245" customFormat="1" ht="14.15" hidden="1" customHeight="1" x14ac:dyDescent="0.35">
      <c r="A84" s="243"/>
      <c r="B84" s="234" t="s">
        <v>558</v>
      </c>
      <c r="F84" s="237"/>
      <c r="G84" s="218">
        <v>0</v>
      </c>
      <c r="I84" s="336">
        <f>G84</f>
        <v>0</v>
      </c>
    </row>
    <row r="85" spans="1:9" s="245" customFormat="1" ht="14.15" hidden="1" customHeight="1" thickBot="1" x14ac:dyDescent="0.4">
      <c r="A85" s="243"/>
      <c r="B85" s="255" t="str">
        <f>"Carrying value at " &amp; TEXT(ComparativeYearStart,"d mmmm yyyy")&amp;" - restated"</f>
        <v>Carrying value at 1 April 2023 - restated</v>
      </c>
      <c r="F85" s="237"/>
      <c r="G85" s="222">
        <f t="shared" ref="G85" si="1">SUM(G83:G84)</f>
        <v>19987</v>
      </c>
      <c r="I85" s="337">
        <f>SUM(I83:I84)</f>
        <v>19987</v>
      </c>
    </row>
    <row r="86" spans="1:9" s="245" customFormat="1" ht="14.15" hidden="1" customHeight="1" thickTop="1" x14ac:dyDescent="0.35">
      <c r="A86" s="243"/>
      <c r="B86" s="330" t="s">
        <v>944</v>
      </c>
      <c r="F86" s="237"/>
      <c r="G86" s="227">
        <v>0</v>
      </c>
      <c r="I86" s="256"/>
    </row>
    <row r="87" spans="1:9" ht="14.15" customHeight="1" x14ac:dyDescent="0.35">
      <c r="B87" s="14" t="s">
        <v>1075</v>
      </c>
      <c r="G87" s="41"/>
      <c r="I87" s="13"/>
    </row>
    <row r="88" spans="1:9" ht="27" customHeight="1" x14ac:dyDescent="0.35">
      <c r="B88" s="105" t="s">
        <v>1076</v>
      </c>
      <c r="G88" s="41">
        <v>-3181</v>
      </c>
      <c r="I88" s="334">
        <f>G88</f>
        <v>-3181</v>
      </c>
    </row>
    <row r="89" spans="1:9" ht="14.15" customHeight="1" x14ac:dyDescent="0.35">
      <c r="B89" s="105" t="s">
        <v>1077</v>
      </c>
      <c r="G89" s="41">
        <v>-191</v>
      </c>
      <c r="I89" s="334">
        <f t="shared" ref="I89:I100" si="2">G89</f>
        <v>-191</v>
      </c>
    </row>
    <row r="90" spans="1:9" ht="14.15" customHeight="1" x14ac:dyDescent="0.35">
      <c r="B90" s="14" t="s">
        <v>1078</v>
      </c>
      <c r="G90" s="41"/>
      <c r="I90" s="334"/>
    </row>
    <row r="91" spans="1:9" s="245" customFormat="1" ht="14.15" hidden="1" customHeight="1" x14ac:dyDescent="0.35">
      <c r="A91" s="243"/>
      <c r="B91" s="216" t="s">
        <v>1446</v>
      </c>
      <c r="F91" s="237"/>
      <c r="G91" s="218"/>
      <c r="I91" s="336">
        <f t="shared" si="2"/>
        <v>0</v>
      </c>
    </row>
    <row r="92" spans="1:9" s="245" customFormat="1" ht="14.15" hidden="1" customHeight="1" x14ac:dyDescent="0.35">
      <c r="A92" s="243"/>
      <c r="B92" s="216" t="s">
        <v>927</v>
      </c>
      <c r="F92" s="237"/>
      <c r="G92" s="218">
        <v>0</v>
      </c>
      <c r="I92" s="336">
        <f t="shared" si="2"/>
        <v>0</v>
      </c>
    </row>
    <row r="93" spans="1:9" ht="14.15" customHeight="1" x14ac:dyDescent="0.35">
      <c r="B93" s="105" t="s">
        <v>920</v>
      </c>
      <c r="G93" s="41">
        <v>2341</v>
      </c>
      <c r="I93" s="334">
        <f t="shared" si="2"/>
        <v>2341</v>
      </c>
    </row>
    <row r="94" spans="1:9" ht="14.15" customHeight="1" x14ac:dyDescent="0.35">
      <c r="B94" s="105" t="s">
        <v>1325</v>
      </c>
      <c r="G94" s="41">
        <v>593</v>
      </c>
      <c r="I94" s="334">
        <f t="shared" si="2"/>
        <v>593</v>
      </c>
    </row>
    <row r="95" spans="1:9" s="245" customFormat="1" ht="14.15" hidden="1" customHeight="1" x14ac:dyDescent="0.35">
      <c r="A95" s="243"/>
      <c r="B95" s="216" t="s">
        <v>1475</v>
      </c>
      <c r="F95" s="237"/>
      <c r="G95" s="218"/>
      <c r="I95" s="336">
        <f t="shared" si="2"/>
        <v>0</v>
      </c>
    </row>
    <row r="96" spans="1:9" ht="14.15" customHeight="1" x14ac:dyDescent="0.35">
      <c r="B96" s="105" t="s">
        <v>1079</v>
      </c>
      <c r="G96" s="41">
        <v>192</v>
      </c>
      <c r="I96" s="334">
        <f t="shared" si="2"/>
        <v>192</v>
      </c>
    </row>
    <row r="97" spans="1:9" s="245" customFormat="1" ht="14.15" hidden="1" customHeight="1" x14ac:dyDescent="0.35">
      <c r="A97" s="243"/>
      <c r="B97" s="216" t="s">
        <v>1080</v>
      </c>
      <c r="F97" s="237"/>
      <c r="G97" s="218">
        <v>0</v>
      </c>
      <c r="I97" s="336">
        <f t="shared" si="2"/>
        <v>0</v>
      </c>
    </row>
    <row r="98" spans="1:9" s="245" customFormat="1" ht="14.15" hidden="1" customHeight="1" x14ac:dyDescent="0.35">
      <c r="A98" s="243"/>
      <c r="B98" s="216" t="s">
        <v>1081</v>
      </c>
      <c r="F98" s="237"/>
      <c r="G98" s="218">
        <v>0</v>
      </c>
      <c r="I98" s="336">
        <f t="shared" si="2"/>
        <v>0</v>
      </c>
    </row>
    <row r="99" spans="1:9" ht="14.15" customHeight="1" x14ac:dyDescent="0.35">
      <c r="B99" s="105" t="s">
        <v>1082</v>
      </c>
      <c r="G99" s="41">
        <v>-526</v>
      </c>
      <c r="I99" s="334">
        <f t="shared" si="2"/>
        <v>-526</v>
      </c>
    </row>
    <row r="100" spans="1:9" s="245" customFormat="1" ht="14.15" hidden="1" customHeight="1" x14ac:dyDescent="0.35">
      <c r="A100" s="243"/>
      <c r="B100" s="216" t="s">
        <v>1083</v>
      </c>
      <c r="F100" s="237"/>
      <c r="G100" s="218">
        <v>0</v>
      </c>
      <c r="I100" s="336">
        <f t="shared" si="2"/>
        <v>0</v>
      </c>
    </row>
    <row r="101" spans="1:9" ht="14.15" customHeight="1" thickBot="1" x14ac:dyDescent="0.4">
      <c r="B101" s="14" t="str">
        <f>"Carrying value at " &amp; TEXT(ComparativeYearEnd,"d mmmm yyyy")</f>
        <v>Carrying value at 31 March 2024</v>
      </c>
      <c r="G101" s="42">
        <f t="shared" ref="G101:I101" si="3">SUM(G85:G100)</f>
        <v>19215</v>
      </c>
      <c r="I101" s="42">
        <f t="shared" si="3"/>
        <v>19215</v>
      </c>
    </row>
    <row r="102" spans="1:9" ht="14.15" customHeight="1" thickTop="1" x14ac:dyDescent="0.35">
      <c r="I102" s="13"/>
    </row>
    <row r="103" spans="1:9" s="245" customFormat="1" ht="14.15" hidden="1" customHeight="1" x14ac:dyDescent="0.35">
      <c r="A103" s="243">
        <f>A60+1</f>
        <v>26.200000000000003</v>
      </c>
      <c r="B103" s="255" t="str">
        <f>"Note "&amp;A103&amp; " Other financial liabilities"</f>
        <v>Note 26.2 Other financial liabilities</v>
      </c>
      <c r="F103" s="237"/>
      <c r="G103" s="255"/>
      <c r="I103" s="256"/>
    </row>
    <row r="104" spans="1:9" s="245" customFormat="1" ht="14.5" hidden="1" x14ac:dyDescent="0.35">
      <c r="A104" s="243"/>
      <c r="B104" s="255"/>
      <c r="F104" s="237"/>
      <c r="G104" s="266" t="str">
        <f>TEXT(CurrentYearEnd, "d mmmm yyyy")</f>
        <v>31 March 2025</v>
      </c>
      <c r="I104" s="266" t="str">
        <f>TEXT(ComparativeYearEnd, "d mmmm yyyy")</f>
        <v>31 March 2024</v>
      </c>
    </row>
    <row r="105" spans="1:9" s="245" customFormat="1" ht="14.5" hidden="1" x14ac:dyDescent="0.35">
      <c r="A105" s="243"/>
      <c r="B105" s="255"/>
      <c r="F105" s="237"/>
      <c r="G105" s="266" t="s">
        <v>542</v>
      </c>
      <c r="I105" s="266" t="s">
        <v>542</v>
      </c>
    </row>
    <row r="106" spans="1:9" s="245" customFormat="1" ht="14.15" hidden="1" customHeight="1" x14ac:dyDescent="0.35">
      <c r="A106" s="243"/>
      <c r="B106" s="255" t="s">
        <v>977</v>
      </c>
      <c r="F106" s="237"/>
      <c r="G106" s="328"/>
      <c r="I106" s="328"/>
    </row>
    <row r="107" spans="1:9" s="245" customFormat="1" ht="14.15" hidden="1" customHeight="1" x14ac:dyDescent="0.35">
      <c r="A107" s="243"/>
      <c r="B107" s="224" t="s">
        <v>1084</v>
      </c>
      <c r="F107" s="237"/>
      <c r="G107" s="218">
        <v>0</v>
      </c>
      <c r="I107" s="218">
        <v>0</v>
      </c>
    </row>
    <row r="108" spans="1:9" s="245" customFormat="1" ht="14.15" hidden="1" customHeight="1" x14ac:dyDescent="0.35">
      <c r="A108" s="243"/>
      <c r="B108" s="216" t="s">
        <v>521</v>
      </c>
      <c r="F108" s="237"/>
      <c r="G108" s="218">
        <v>0</v>
      </c>
      <c r="I108" s="218">
        <v>0</v>
      </c>
    </row>
    <row r="109" spans="1:9" s="245" customFormat="1" ht="14.15" hidden="1" customHeight="1" thickBot="1" x14ac:dyDescent="0.4">
      <c r="A109" s="243"/>
      <c r="B109" s="221" t="s">
        <v>1085</v>
      </c>
      <c r="F109" s="237"/>
      <c r="G109" s="290">
        <f>SUM(G107:G108)</f>
        <v>0</v>
      </c>
      <c r="I109" s="290">
        <f>SUM(I107:I108)</f>
        <v>0</v>
      </c>
    </row>
    <row r="110" spans="1:9" s="245" customFormat="1" ht="14.15" hidden="1" customHeight="1" thickTop="1" x14ac:dyDescent="0.35">
      <c r="A110" s="243"/>
      <c r="B110" s="221"/>
      <c r="F110" s="237"/>
      <c r="G110" s="237"/>
      <c r="I110" s="237"/>
    </row>
    <row r="111" spans="1:9" s="245" customFormat="1" ht="14.15" hidden="1" customHeight="1" x14ac:dyDescent="0.35">
      <c r="A111" s="243"/>
      <c r="B111" s="255" t="s">
        <v>994</v>
      </c>
      <c r="F111" s="237"/>
      <c r="G111" s="328"/>
      <c r="I111" s="328"/>
    </row>
    <row r="112" spans="1:9" s="245" customFormat="1" ht="14.15" hidden="1" customHeight="1" x14ac:dyDescent="0.35">
      <c r="A112" s="243"/>
      <c r="B112" s="224" t="s">
        <v>1084</v>
      </c>
      <c r="F112" s="237"/>
      <c r="G112" s="218">
        <v>0</v>
      </c>
      <c r="I112" s="218">
        <v>0</v>
      </c>
    </row>
    <row r="113" spans="1:9" s="245" customFormat="1" ht="14.15" hidden="1" customHeight="1" x14ac:dyDescent="0.35">
      <c r="A113" s="243"/>
      <c r="B113" s="216" t="s">
        <v>521</v>
      </c>
      <c r="F113" s="237"/>
      <c r="G113" s="218">
        <v>0</v>
      </c>
      <c r="I113" s="218">
        <v>0</v>
      </c>
    </row>
    <row r="114" spans="1:9" s="245" customFormat="1" ht="14.15" hidden="1" customHeight="1" thickBot="1" x14ac:dyDescent="0.4">
      <c r="A114" s="243"/>
      <c r="B114" s="221" t="s">
        <v>1086</v>
      </c>
      <c r="F114" s="237"/>
      <c r="G114" s="290">
        <f>SUM(G112:G113)</f>
        <v>0</v>
      </c>
      <c r="I114" s="290">
        <f>SUM(I112:I113)</f>
        <v>0</v>
      </c>
    </row>
  </sheetData>
  <customSheetViews>
    <customSheetView guid="{EDC1BD6E-863A-4FC6-A3A9-F32079F4F0C1}" topLeftCell="A16">
      <selection activeCell="L42" sqref="L42"/>
      <pageMargins left="0" right="0" top="0" bottom="0" header="0" footer="0"/>
      <pageSetup paperSize="9" orientation="portrait" verticalDpi="0" r:id="rId1"/>
    </customSheetView>
  </customSheetViews>
  <pageMargins left="0.59055118110236227" right="0.59055118110236227" top="0.59055118110236227" bottom="0.59055118110236227" header="0" footer="0"/>
  <pageSetup paperSize="9" orientation="portrait" r:id="rId2"/>
  <headerFooter>
    <oddFoote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92D050"/>
    <pageSetUpPr fitToPage="1"/>
  </sheetPr>
  <dimension ref="A1:L77"/>
  <sheetViews>
    <sheetView workbookViewId="0"/>
  </sheetViews>
  <sheetFormatPr defaultColWidth="9.1796875" defaultRowHeight="14.15" customHeight="1" x14ac:dyDescent="0.25"/>
  <cols>
    <col min="1" max="1" width="1.54296875" style="31" customWidth="1"/>
    <col min="2" max="2" width="31.54296875" style="1" customWidth="1"/>
    <col min="3" max="3" width="11.26953125" style="245" hidden="1" customWidth="1"/>
    <col min="4" max="4" width="9.453125" style="1" customWidth="1"/>
    <col min="5" max="5" width="10.1796875" style="1" customWidth="1"/>
    <col min="6" max="6" width="9.81640625" style="245" hidden="1" customWidth="1"/>
    <col min="7" max="7" width="10.7265625" style="1" customWidth="1"/>
    <col min="8" max="8" width="11.26953125" style="1" customWidth="1"/>
    <col min="9" max="9" width="9.54296875" style="1" customWidth="1"/>
    <col min="10" max="10" width="11.26953125" style="1" customWidth="1"/>
    <col min="11" max="16384" width="9.1796875" style="1"/>
  </cols>
  <sheetData>
    <row r="1" spans="1:12" ht="14.15" customHeight="1" x14ac:dyDescent="0.25">
      <c r="A1" s="31">
        <f>ROUNDDOWN('24-25 Crs&amp;FAL'!A60,0)+1</f>
        <v>26</v>
      </c>
      <c r="B1" s="93" t="str">
        <f>"Note "&amp;A1&amp; " Provisions for liabilities and charges analysis "</f>
        <v xml:space="preserve">Note 26 Provisions for liabilities and charges analysis </v>
      </c>
      <c r="C1" s="255"/>
      <c r="D1" s="14"/>
      <c r="E1" s="14"/>
      <c r="F1" s="255"/>
      <c r="G1" s="14"/>
      <c r="H1" s="14"/>
      <c r="I1" s="14"/>
      <c r="J1" s="14"/>
    </row>
    <row r="2" spans="1:12" ht="7.5" customHeight="1" x14ac:dyDescent="0.25">
      <c r="B2" s="14"/>
      <c r="C2" s="255"/>
      <c r="D2" s="14"/>
      <c r="E2" s="14"/>
      <c r="F2" s="255"/>
      <c r="H2" s="14"/>
      <c r="I2" s="14"/>
      <c r="J2" s="14"/>
    </row>
    <row r="3" spans="1:12" ht="50.25" customHeight="1" x14ac:dyDescent="0.25">
      <c r="B3" s="14"/>
      <c r="C3" s="266" t="s">
        <v>1090</v>
      </c>
      <c r="D3" s="226" t="s">
        <v>1091</v>
      </c>
      <c r="E3" s="226" t="s">
        <v>1092</v>
      </c>
      <c r="F3" s="311" t="s">
        <v>1093</v>
      </c>
      <c r="G3" s="226" t="s">
        <v>1094</v>
      </c>
      <c r="H3" s="226" t="s">
        <v>1095</v>
      </c>
      <c r="I3" s="226" t="s">
        <v>837</v>
      </c>
      <c r="J3" s="226" t="s">
        <v>917</v>
      </c>
    </row>
    <row r="4" spans="1:12" ht="14.15" customHeight="1" x14ac:dyDescent="0.25">
      <c r="B4" s="14"/>
      <c r="C4" s="266" t="s">
        <v>542</v>
      </c>
      <c r="D4" s="80" t="s">
        <v>462</v>
      </c>
      <c r="E4" s="80" t="s">
        <v>462</v>
      </c>
      <c r="F4" s="266" t="s">
        <v>462</v>
      </c>
      <c r="G4" s="80" t="s">
        <v>462</v>
      </c>
      <c r="H4" s="80" t="s">
        <v>462</v>
      </c>
      <c r="I4" s="80" t="s">
        <v>462</v>
      </c>
      <c r="J4" s="80" t="s">
        <v>542</v>
      </c>
    </row>
    <row r="5" spans="1:12" s="14" customFormat="1" ht="14.15" customHeight="1" x14ac:dyDescent="0.25">
      <c r="A5" s="33"/>
      <c r="B5" s="14" t="str">
        <f>"At " &amp; TEXT(CurrentYearStart,"d mmmm yyyy")</f>
        <v>At 1 April 2024</v>
      </c>
      <c r="C5" s="227">
        <v>0</v>
      </c>
      <c r="D5" s="50">
        <v>13662</v>
      </c>
      <c r="E5" s="50">
        <v>1218</v>
      </c>
      <c r="F5" s="227">
        <v>0</v>
      </c>
      <c r="G5" s="50">
        <v>2439</v>
      </c>
      <c r="H5" s="50">
        <v>202</v>
      </c>
      <c r="I5" s="50">
        <v>4724</v>
      </c>
      <c r="J5" s="50">
        <f t="shared" ref="J5:J11" si="0">SUM(C5:I5)</f>
        <v>22245</v>
      </c>
    </row>
    <row r="6" spans="1:12" s="14" customFormat="1" ht="14.15" hidden="1" customHeight="1" x14ac:dyDescent="0.25">
      <c r="A6" s="33"/>
      <c r="B6" s="14" t="s">
        <v>543</v>
      </c>
      <c r="C6" s="227">
        <v>0</v>
      </c>
      <c r="D6" s="50">
        <v>0</v>
      </c>
      <c r="E6" s="50">
        <v>0</v>
      </c>
      <c r="F6" s="227">
        <v>0</v>
      </c>
      <c r="G6" s="50">
        <v>0</v>
      </c>
      <c r="H6" s="50">
        <v>0</v>
      </c>
      <c r="I6" s="50">
        <v>0</v>
      </c>
      <c r="J6" s="50">
        <f t="shared" si="0"/>
        <v>0</v>
      </c>
      <c r="K6" s="100"/>
      <c r="L6" s="167" t="s">
        <v>544</v>
      </c>
    </row>
    <row r="7" spans="1:12" s="245" customFormat="1" ht="14.15" hidden="1" customHeight="1" x14ac:dyDescent="0.25">
      <c r="A7" s="243"/>
      <c r="B7" s="216" t="s">
        <v>927</v>
      </c>
      <c r="C7" s="228">
        <v>0</v>
      </c>
      <c r="D7" s="228">
        <v>0</v>
      </c>
      <c r="E7" s="228">
        <v>0</v>
      </c>
      <c r="F7" s="228">
        <v>0</v>
      </c>
      <c r="G7" s="228">
        <v>0</v>
      </c>
      <c r="H7" s="228">
        <v>0</v>
      </c>
      <c r="I7" s="228">
        <v>0</v>
      </c>
      <c r="J7" s="227">
        <f t="shared" ref="J7" si="1">SUM(C7:I7)</f>
        <v>0</v>
      </c>
    </row>
    <row r="8" spans="1:12" ht="14.15" customHeight="1" x14ac:dyDescent="0.25">
      <c r="B8" s="105" t="s">
        <v>1096</v>
      </c>
      <c r="C8" s="228">
        <v>0</v>
      </c>
      <c r="D8" s="179">
        <v>56</v>
      </c>
      <c r="E8" s="179">
        <v>1</v>
      </c>
      <c r="F8" s="228">
        <v>0</v>
      </c>
      <c r="G8" s="179">
        <v>0</v>
      </c>
      <c r="H8" s="179">
        <v>0</v>
      </c>
      <c r="I8" s="179">
        <v>0</v>
      </c>
      <c r="J8" s="50">
        <f t="shared" si="0"/>
        <v>57</v>
      </c>
    </row>
    <row r="9" spans="1:12" ht="14.15" customHeight="1" x14ac:dyDescent="0.25">
      <c r="B9" s="105" t="s">
        <v>1097</v>
      </c>
      <c r="C9" s="228">
        <v>0</v>
      </c>
      <c r="D9" s="179">
        <v>451</v>
      </c>
      <c r="E9" s="179">
        <v>1006</v>
      </c>
      <c r="F9" s="228">
        <v>0</v>
      </c>
      <c r="G9" s="179">
        <v>6281</v>
      </c>
      <c r="H9" s="179">
        <v>0</v>
      </c>
      <c r="I9" s="179">
        <v>989</v>
      </c>
      <c r="J9" s="50">
        <f t="shared" si="0"/>
        <v>8727</v>
      </c>
    </row>
    <row r="10" spans="1:12" ht="14.15" customHeight="1" x14ac:dyDescent="0.25">
      <c r="B10" s="105" t="s">
        <v>1098</v>
      </c>
      <c r="C10" s="218">
        <v>0</v>
      </c>
      <c r="D10" s="41">
        <v>-812</v>
      </c>
      <c r="E10" s="41">
        <v>-256</v>
      </c>
      <c r="F10" s="218">
        <v>0</v>
      </c>
      <c r="G10" s="41">
        <v>-203</v>
      </c>
      <c r="H10" s="41">
        <v>0</v>
      </c>
      <c r="I10" s="41">
        <v>-300</v>
      </c>
      <c r="J10" s="50">
        <f t="shared" si="0"/>
        <v>-1571</v>
      </c>
    </row>
    <row r="11" spans="1:12" s="245" customFormat="1" ht="13.75" hidden="1" customHeight="1" x14ac:dyDescent="0.25">
      <c r="A11" s="243"/>
      <c r="B11" s="224" t="s">
        <v>1099</v>
      </c>
      <c r="C11" s="218">
        <v>0</v>
      </c>
      <c r="D11" s="218">
        <v>0</v>
      </c>
      <c r="E11" s="218">
        <v>0</v>
      </c>
      <c r="F11" s="218">
        <v>0</v>
      </c>
      <c r="G11" s="218">
        <v>0</v>
      </c>
      <c r="H11" s="218">
        <v>0</v>
      </c>
      <c r="I11" s="218">
        <v>0</v>
      </c>
      <c r="J11" s="227">
        <f t="shared" si="0"/>
        <v>0</v>
      </c>
    </row>
    <row r="12" spans="1:12" ht="14.15" customHeight="1" x14ac:dyDescent="0.25">
      <c r="B12" s="105" t="s">
        <v>1364</v>
      </c>
      <c r="C12" s="218">
        <v>0</v>
      </c>
      <c r="D12" s="41">
        <v>-512</v>
      </c>
      <c r="E12" s="41">
        <v>-194</v>
      </c>
      <c r="F12" s="218">
        <v>0</v>
      </c>
      <c r="G12" s="41">
        <v>-2127</v>
      </c>
      <c r="H12" s="41">
        <v>0</v>
      </c>
      <c r="I12" s="41">
        <v>-1921</v>
      </c>
      <c r="J12" s="50">
        <f t="shared" ref="J12:J13" si="2">SUM(C12:I12)</f>
        <v>-4754</v>
      </c>
    </row>
    <row r="13" spans="1:12" ht="14.15" customHeight="1" x14ac:dyDescent="0.25">
      <c r="B13" s="105" t="s">
        <v>1100</v>
      </c>
      <c r="C13" s="218">
        <v>0</v>
      </c>
      <c r="D13" s="41">
        <v>315</v>
      </c>
      <c r="E13" s="41">
        <v>20</v>
      </c>
      <c r="F13" s="218">
        <v>0</v>
      </c>
      <c r="G13" s="41">
        <v>0</v>
      </c>
      <c r="H13" s="41">
        <v>0</v>
      </c>
      <c r="I13" s="41">
        <v>0</v>
      </c>
      <c r="J13" s="50">
        <f t="shared" si="2"/>
        <v>335</v>
      </c>
    </row>
    <row r="14" spans="1:12" s="14" customFormat="1" ht="14.15" customHeight="1" thickBot="1" x14ac:dyDescent="0.3">
      <c r="A14" s="33"/>
      <c r="B14" s="93" t="str">
        <f>"At " &amp; TEXT(CurrentYearEnd, "d mmmm yyyy")</f>
        <v>At 31 March 2025</v>
      </c>
      <c r="C14" s="290">
        <f t="shared" ref="C14:J14" si="3">SUM(C5:C13)</f>
        <v>0</v>
      </c>
      <c r="D14" s="42">
        <f t="shared" si="3"/>
        <v>13160</v>
      </c>
      <c r="E14" s="42">
        <f t="shared" si="3"/>
        <v>1795</v>
      </c>
      <c r="F14" s="290">
        <f t="shared" si="3"/>
        <v>0</v>
      </c>
      <c r="G14" s="42">
        <f t="shared" si="3"/>
        <v>6390</v>
      </c>
      <c r="H14" s="42">
        <f t="shared" si="3"/>
        <v>202</v>
      </c>
      <c r="I14" s="42">
        <f t="shared" si="3"/>
        <v>3492</v>
      </c>
      <c r="J14" s="42">
        <f t="shared" si="3"/>
        <v>25039</v>
      </c>
    </row>
    <row r="15" spans="1:12" s="14" customFormat="1" ht="14.15" customHeight="1" thickTop="1" x14ac:dyDescent="0.25">
      <c r="A15" s="33"/>
      <c r="B15" s="14" t="s">
        <v>1101</v>
      </c>
      <c r="C15" s="218"/>
      <c r="D15" s="41"/>
      <c r="E15" s="41"/>
      <c r="F15" s="218"/>
      <c r="G15" s="41"/>
      <c r="H15" s="41"/>
      <c r="I15" s="41"/>
      <c r="J15" s="41"/>
    </row>
    <row r="16" spans="1:12" ht="14.15" customHeight="1" x14ac:dyDescent="0.25">
      <c r="B16" s="111" t="s">
        <v>880</v>
      </c>
      <c r="C16" s="218">
        <v>0</v>
      </c>
      <c r="D16" s="41">
        <v>957</v>
      </c>
      <c r="E16" s="41">
        <v>140</v>
      </c>
      <c r="F16" s="218">
        <v>0</v>
      </c>
      <c r="G16" s="41">
        <v>6390</v>
      </c>
      <c r="H16" s="41">
        <v>202</v>
      </c>
      <c r="I16" s="179">
        <v>3492</v>
      </c>
      <c r="J16" s="50">
        <f>SUM(C16:I16)</f>
        <v>11181</v>
      </c>
    </row>
    <row r="17" spans="1:10" ht="26.25" customHeight="1" x14ac:dyDescent="0.25">
      <c r="B17" s="111" t="s">
        <v>881</v>
      </c>
      <c r="C17" s="218">
        <v>0</v>
      </c>
      <c r="D17" s="41">
        <v>4431</v>
      </c>
      <c r="E17" s="41">
        <v>671</v>
      </c>
      <c r="F17" s="218">
        <v>0</v>
      </c>
      <c r="G17" s="41">
        <v>0</v>
      </c>
      <c r="H17" s="41">
        <v>0</v>
      </c>
      <c r="I17" s="179">
        <v>0</v>
      </c>
      <c r="J17" s="50">
        <f>SUM(C17:I17)</f>
        <v>5102</v>
      </c>
    </row>
    <row r="18" spans="1:10" ht="14.15" customHeight="1" x14ac:dyDescent="0.25">
      <c r="B18" s="111" t="s">
        <v>882</v>
      </c>
      <c r="C18" s="218">
        <v>0</v>
      </c>
      <c r="D18" s="41">
        <v>7772</v>
      </c>
      <c r="E18" s="41">
        <v>984</v>
      </c>
      <c r="F18" s="218">
        <v>0</v>
      </c>
      <c r="G18" s="41">
        <v>0</v>
      </c>
      <c r="H18" s="41">
        <v>0</v>
      </c>
      <c r="I18" s="179">
        <v>0</v>
      </c>
      <c r="J18" s="50">
        <f>SUM(C18:I18)</f>
        <v>8756</v>
      </c>
    </row>
    <row r="19" spans="1:10" s="14" customFormat="1" ht="14.15" customHeight="1" thickBot="1" x14ac:dyDescent="0.3">
      <c r="A19" s="33"/>
      <c r="B19" s="93" t="s">
        <v>541</v>
      </c>
      <c r="C19" s="290">
        <f>SUM(C16:C18)</f>
        <v>0</v>
      </c>
      <c r="D19" s="42">
        <f t="shared" ref="D19:J19" si="4">SUM(D16:D18)</f>
        <v>13160</v>
      </c>
      <c r="E19" s="42">
        <f t="shared" si="4"/>
        <v>1795</v>
      </c>
      <c r="F19" s="290">
        <f t="shared" si="4"/>
        <v>0</v>
      </c>
      <c r="G19" s="42">
        <f t="shared" si="4"/>
        <v>6390</v>
      </c>
      <c r="H19" s="42">
        <f t="shared" si="4"/>
        <v>202</v>
      </c>
      <c r="I19" s="42">
        <f t="shared" si="4"/>
        <v>3492</v>
      </c>
      <c r="J19" s="42">
        <f t="shared" si="4"/>
        <v>25039</v>
      </c>
    </row>
    <row r="20" spans="1:10" ht="15" customHeight="1" thickTop="1" x14ac:dyDescent="0.25">
      <c r="C20" s="301"/>
      <c r="D20" s="23"/>
      <c r="E20" s="23"/>
      <c r="F20" s="301"/>
      <c r="G20" s="23"/>
      <c r="H20" s="23"/>
      <c r="I20" s="23"/>
      <c r="J20" s="23"/>
    </row>
    <row r="21" spans="1:10" ht="14.15" customHeight="1" x14ac:dyDescent="0.25">
      <c r="B21" s="486" t="s">
        <v>1718</v>
      </c>
      <c r="C21" s="486"/>
      <c r="D21" s="486"/>
      <c r="E21" s="486"/>
      <c r="F21" s="486"/>
      <c r="G21" s="486"/>
      <c r="H21" s="486"/>
      <c r="I21" s="486"/>
      <c r="J21" s="486"/>
    </row>
    <row r="22" spans="1:10" ht="14.15" customHeight="1" x14ac:dyDescent="0.25">
      <c r="B22" s="486"/>
      <c r="C22" s="486"/>
      <c r="D22" s="486"/>
      <c r="E22" s="486"/>
      <c r="F22" s="486"/>
      <c r="G22" s="486"/>
      <c r="H22" s="486"/>
      <c r="I22" s="486"/>
      <c r="J22" s="486"/>
    </row>
    <row r="23" spans="1:10" ht="14.15" customHeight="1" x14ac:dyDescent="0.25">
      <c r="B23" s="486"/>
      <c r="C23" s="486"/>
      <c r="D23" s="486"/>
      <c r="E23" s="486"/>
      <c r="F23" s="486"/>
      <c r="G23" s="486"/>
      <c r="H23" s="486"/>
      <c r="I23" s="486"/>
      <c r="J23" s="486"/>
    </row>
    <row r="24" spans="1:10" ht="9" customHeight="1" x14ac:dyDescent="0.25">
      <c r="B24" s="486"/>
      <c r="C24" s="486"/>
      <c r="D24" s="486"/>
      <c r="E24" s="486"/>
      <c r="F24" s="486"/>
      <c r="G24" s="486"/>
      <c r="H24" s="486"/>
      <c r="I24" s="486"/>
      <c r="J24" s="486"/>
    </row>
    <row r="25" spans="1:10" ht="13.5" hidden="1" customHeight="1" x14ac:dyDescent="0.25">
      <c r="B25" s="486"/>
      <c r="C25" s="486"/>
      <c r="D25" s="486"/>
      <c r="E25" s="486"/>
      <c r="F25" s="486"/>
      <c r="G25" s="486"/>
      <c r="H25" s="486"/>
      <c r="I25" s="486"/>
      <c r="J25" s="486"/>
    </row>
    <row r="26" spans="1:10" ht="41.25" customHeight="1" x14ac:dyDescent="0.25">
      <c r="B26" s="432" t="s">
        <v>1726</v>
      </c>
      <c r="C26" s="432"/>
      <c r="D26" s="432"/>
      <c r="E26" s="432"/>
      <c r="F26" s="432"/>
      <c r="G26" s="432"/>
      <c r="H26" s="432"/>
      <c r="I26" s="432"/>
      <c r="J26" s="432"/>
    </row>
    <row r="27" spans="1:10" ht="3.75" customHeight="1" x14ac:dyDescent="0.25">
      <c r="C27" s="1"/>
      <c r="F27" s="1"/>
    </row>
    <row r="28" spans="1:10" ht="61.5" customHeight="1" x14ac:dyDescent="0.25">
      <c r="B28" s="432" t="s">
        <v>1727</v>
      </c>
      <c r="C28" s="432"/>
      <c r="D28" s="432"/>
      <c r="E28" s="432"/>
      <c r="F28" s="432"/>
      <c r="G28" s="432"/>
      <c r="H28" s="432"/>
      <c r="I28" s="432"/>
      <c r="J28" s="432"/>
    </row>
    <row r="29" spans="1:10" ht="9" customHeight="1" x14ac:dyDescent="0.25"/>
    <row r="30" spans="1:10" ht="14.15" customHeight="1" x14ac:dyDescent="0.25">
      <c r="A30" s="31">
        <f>ROUNDDOWN(A1,0)+1</f>
        <v>27</v>
      </c>
      <c r="B30" s="14" t="str">
        <f>"Note "&amp;A30&amp; " Clinical negligence liabilities"</f>
        <v>Note 27 Clinical negligence liabilities</v>
      </c>
      <c r="C30" s="1"/>
    </row>
    <row r="31" spans="1:10" ht="6.75" customHeight="1" x14ac:dyDescent="0.25">
      <c r="C31" s="1"/>
    </row>
    <row r="32" spans="1:10" ht="14.15" customHeight="1" x14ac:dyDescent="0.25">
      <c r="B32" s="432" t="s">
        <v>1748</v>
      </c>
      <c r="C32" s="432"/>
      <c r="D32" s="432"/>
      <c r="E32" s="432"/>
      <c r="F32" s="432"/>
      <c r="G32" s="432"/>
      <c r="H32" s="432"/>
      <c r="I32" s="432"/>
      <c r="J32" s="432"/>
    </row>
    <row r="33" spans="1:10" ht="14.15" customHeight="1" x14ac:dyDescent="0.25">
      <c r="B33" s="432"/>
      <c r="C33" s="432"/>
      <c r="D33" s="432"/>
      <c r="E33" s="432"/>
      <c r="F33" s="432"/>
      <c r="G33" s="432"/>
      <c r="H33" s="432"/>
      <c r="I33" s="432"/>
      <c r="J33" s="432"/>
    </row>
    <row r="35" spans="1:10" ht="14.15" customHeight="1" x14ac:dyDescent="0.25">
      <c r="A35" s="31">
        <f>A30+1</f>
        <v>28</v>
      </c>
      <c r="B35" s="93" t="str">
        <f>"Note "&amp;A35&amp; " Contingent assets and liabilities"</f>
        <v>Note 28 Contingent assets and liabilities</v>
      </c>
    </row>
    <row r="36" spans="1:10" ht="5.25" customHeight="1" x14ac:dyDescent="0.25"/>
    <row r="37" spans="1:10" ht="30" customHeight="1" x14ac:dyDescent="0.25">
      <c r="D37" s="80" t="str">
        <f>TEXT(CurrentYearEnd, "d mmmm yyyy")</f>
        <v>31 March 2025</v>
      </c>
      <c r="E37" s="80" t="str">
        <f>TEXT(ComparativeYearEnd, "d mmmm yyyy")</f>
        <v>31 March 2024</v>
      </c>
    </row>
    <row r="38" spans="1:10" ht="14.15" customHeight="1" x14ac:dyDescent="0.25">
      <c r="B38" s="14" t="s">
        <v>1102</v>
      </c>
      <c r="D38" s="80" t="s">
        <v>542</v>
      </c>
      <c r="E38" s="80" t="s">
        <v>542</v>
      </c>
    </row>
    <row r="39" spans="1:10" ht="14.15" customHeight="1" x14ac:dyDescent="0.25">
      <c r="B39" s="105" t="s">
        <v>1103</v>
      </c>
      <c r="D39" s="41">
        <v>111</v>
      </c>
      <c r="E39" s="41">
        <v>156</v>
      </c>
    </row>
    <row r="40" spans="1:10" s="245" customFormat="1" ht="14.15" hidden="1" customHeight="1" x14ac:dyDescent="0.25">
      <c r="A40" s="243"/>
      <c r="B40" s="216" t="s">
        <v>1104</v>
      </c>
    </row>
    <row r="41" spans="1:10" s="245" customFormat="1" ht="14.15" hidden="1" customHeight="1" x14ac:dyDescent="0.25">
      <c r="A41" s="243"/>
      <c r="B41" s="216" t="s">
        <v>1095</v>
      </c>
      <c r="D41" s="218">
        <v>0</v>
      </c>
      <c r="E41" s="218">
        <v>0</v>
      </c>
    </row>
    <row r="42" spans="1:10" s="245" customFormat="1" ht="14.15" hidden="1" customHeight="1" x14ac:dyDescent="0.25">
      <c r="A42" s="243"/>
      <c r="B42" s="216" t="s">
        <v>837</v>
      </c>
      <c r="D42" s="218">
        <v>0</v>
      </c>
      <c r="E42" s="218">
        <v>0</v>
      </c>
    </row>
    <row r="43" spans="1:10" ht="14.15" customHeight="1" x14ac:dyDescent="0.25">
      <c r="B43" s="93" t="s">
        <v>1105</v>
      </c>
      <c r="D43" s="43">
        <f>SUM(D39:D42)</f>
        <v>111</v>
      </c>
      <c r="E43" s="43">
        <f>SUM(E39:E42)</f>
        <v>156</v>
      </c>
    </row>
    <row r="44" spans="1:10" s="245" customFormat="1" ht="14.15" hidden="1" customHeight="1" x14ac:dyDescent="0.25">
      <c r="A44" s="243"/>
      <c r="B44" s="216" t="s">
        <v>1106</v>
      </c>
    </row>
    <row r="45" spans="1:10" s="245" customFormat="1" ht="14.15" hidden="1" customHeight="1" x14ac:dyDescent="0.25">
      <c r="A45" s="243"/>
      <c r="B45" s="221" t="s">
        <v>1107</v>
      </c>
      <c r="D45" s="218">
        <v>0</v>
      </c>
      <c r="E45" s="218">
        <v>0</v>
      </c>
    </row>
    <row r="46" spans="1:10" s="245" customFormat="1" ht="14.15" hidden="1" customHeight="1" thickBot="1" x14ac:dyDescent="0.3">
      <c r="A46" s="243"/>
      <c r="B46" s="255" t="s">
        <v>1108</v>
      </c>
      <c r="D46" s="290">
        <f>SUM(D43:D45)</f>
        <v>111</v>
      </c>
      <c r="E46" s="290">
        <f>SUM(E43:E45)</f>
        <v>156</v>
      </c>
    </row>
    <row r="47" spans="1:10" ht="14.15" customHeight="1" x14ac:dyDescent="0.25">
      <c r="D47" s="50"/>
      <c r="E47" s="50"/>
    </row>
    <row r="48" spans="1:10" ht="14.15" customHeight="1" x14ac:dyDescent="0.25">
      <c r="A48" s="31">
        <f>A35+1</f>
        <v>29</v>
      </c>
      <c r="B48" s="93" t="str">
        <f>"Note "&amp;A48&amp; " Contractual capital commitments"</f>
        <v>Note 29 Contractual capital commitments</v>
      </c>
    </row>
    <row r="49" spans="1:8" ht="4.5" customHeight="1" x14ac:dyDescent="0.25"/>
    <row r="50" spans="1:8" ht="28.5" customHeight="1" x14ac:dyDescent="0.25">
      <c r="D50" s="80" t="str">
        <f>TEXT(CurrentYearEnd, "d mmmm yyyy")</f>
        <v>31 March 2025</v>
      </c>
      <c r="E50" s="80" t="str">
        <f>TEXT(ComparativeYearEnd, "d mmmm yyyy")</f>
        <v>31 March 2024</v>
      </c>
    </row>
    <row r="51" spans="1:8" ht="14.15" customHeight="1" x14ac:dyDescent="0.25">
      <c r="D51" s="39" t="s">
        <v>542</v>
      </c>
      <c r="E51" s="39" t="s">
        <v>542</v>
      </c>
    </row>
    <row r="52" spans="1:8" ht="14.15" customHeight="1" x14ac:dyDescent="0.25">
      <c r="B52" s="105" t="s">
        <v>1777</v>
      </c>
      <c r="D52" s="41">
        <v>11087</v>
      </c>
      <c r="E52" s="41">
        <v>14193</v>
      </c>
    </row>
    <row r="53" spans="1:8" s="245" customFormat="1" ht="14.15" hidden="1" customHeight="1" x14ac:dyDescent="0.25">
      <c r="A53" s="243"/>
      <c r="B53" s="216" t="s">
        <v>505</v>
      </c>
      <c r="D53" s="218">
        <v>0</v>
      </c>
      <c r="E53" s="218">
        <v>0</v>
      </c>
    </row>
    <row r="54" spans="1:8" ht="14.15" customHeight="1" x14ac:dyDescent="0.25">
      <c r="B54" s="93" t="s">
        <v>541</v>
      </c>
      <c r="D54" s="419">
        <f>SUM(D52:D53)</f>
        <v>11087</v>
      </c>
      <c r="E54" s="419">
        <f>SUM(E52:E53)</f>
        <v>14193</v>
      </c>
    </row>
    <row r="55" spans="1:8" ht="5.25" customHeight="1" x14ac:dyDescent="0.25">
      <c r="B55" s="93"/>
      <c r="D55" s="88"/>
      <c r="E55" s="88"/>
    </row>
    <row r="56" spans="1:8" ht="14.15" customHeight="1" x14ac:dyDescent="0.25">
      <c r="B56" s="413" t="s">
        <v>1783</v>
      </c>
      <c r="C56" s="399"/>
      <c r="D56" s="420"/>
      <c r="E56" s="420"/>
      <c r="F56" s="399"/>
      <c r="G56" s="399"/>
      <c r="H56" s="399"/>
    </row>
    <row r="58" spans="1:8" ht="14.15" customHeight="1" x14ac:dyDescent="0.25">
      <c r="A58" s="31">
        <f>A48+1</f>
        <v>30</v>
      </c>
      <c r="B58" s="14" t="str">
        <f>"Note "&amp;A58&amp; " Financial instruments"</f>
        <v>Note 30 Financial instruments</v>
      </c>
      <c r="C58" s="1"/>
    </row>
    <row r="59" spans="1:8" ht="8.25" customHeight="1" x14ac:dyDescent="0.25">
      <c r="B59" s="14"/>
      <c r="C59" s="1"/>
    </row>
    <row r="60" spans="1:8" ht="14.15" customHeight="1" x14ac:dyDescent="0.25">
      <c r="A60" s="31">
        <f>A58+0.1</f>
        <v>30.1</v>
      </c>
      <c r="B60" s="14" t="str">
        <f>"Note "&amp;A60&amp; " Financial risk management"</f>
        <v>Note 30.1 Financial risk management</v>
      </c>
      <c r="C60" s="1"/>
    </row>
    <row r="61" spans="1:8" ht="14.15" hidden="1" customHeight="1" x14ac:dyDescent="0.25">
      <c r="B61" s="255"/>
      <c r="D61" s="245"/>
      <c r="E61" s="245"/>
    </row>
    <row r="62" spans="1:8" ht="14.15" hidden="1" customHeight="1" x14ac:dyDescent="0.25">
      <c r="B62" s="316" t="s">
        <v>1169</v>
      </c>
      <c r="C62" s="316"/>
      <c r="D62" s="316"/>
      <c r="E62" s="316"/>
    </row>
    <row r="63" spans="1:8" ht="14.15" hidden="1" customHeight="1" x14ac:dyDescent="0.25">
      <c r="B63" s="316"/>
      <c r="C63" s="316"/>
      <c r="D63" s="316"/>
      <c r="E63" s="316"/>
    </row>
    <row r="64" spans="1:8" ht="14.15" hidden="1" customHeight="1" x14ac:dyDescent="0.25">
      <c r="B64" s="316"/>
      <c r="C64" s="316"/>
      <c r="D64" s="316"/>
      <c r="E64" s="316"/>
    </row>
    <row r="65" spans="2:10" ht="14.15" hidden="1" customHeight="1" x14ac:dyDescent="0.25">
      <c r="B65" s="316"/>
      <c r="C65" s="316"/>
      <c r="D65" s="316"/>
      <c r="E65" s="316"/>
    </row>
    <row r="66" spans="2:10" ht="14.15" hidden="1" customHeight="1" x14ac:dyDescent="0.25">
      <c r="B66" s="316"/>
      <c r="C66" s="316"/>
      <c r="D66" s="316"/>
      <c r="E66" s="316"/>
    </row>
    <row r="67" spans="2:10" ht="14.15" hidden="1" customHeight="1" x14ac:dyDescent="0.25">
      <c r="B67" s="316"/>
      <c r="C67" s="316"/>
      <c r="D67" s="316"/>
      <c r="E67" s="316"/>
    </row>
    <row r="68" spans="2:10" ht="14.15" hidden="1" customHeight="1" x14ac:dyDescent="0.25">
      <c r="B68" s="316"/>
      <c r="C68" s="316"/>
      <c r="D68" s="316"/>
      <c r="E68" s="316"/>
    </row>
    <row r="69" spans="2:10" ht="14.15" hidden="1" customHeight="1" x14ac:dyDescent="0.25">
      <c r="B69" s="316"/>
      <c r="C69" s="316"/>
      <c r="D69" s="316"/>
      <c r="E69" s="316"/>
    </row>
    <row r="70" spans="2:10" ht="14.15" hidden="1" customHeight="1" x14ac:dyDescent="0.25">
      <c r="B70" s="316" t="s">
        <v>1170</v>
      </c>
      <c r="C70" s="316"/>
      <c r="D70" s="316"/>
      <c r="E70" s="316"/>
    </row>
    <row r="71" spans="2:10" ht="14.15" hidden="1" customHeight="1" x14ac:dyDescent="0.25">
      <c r="B71" s="316"/>
      <c r="C71" s="316"/>
      <c r="D71" s="316"/>
      <c r="E71" s="316"/>
    </row>
    <row r="72" spans="2:10" ht="14.15" hidden="1" customHeight="1" x14ac:dyDescent="0.25">
      <c r="B72" s="316"/>
      <c r="C72" s="316"/>
      <c r="D72" s="316"/>
      <c r="E72" s="316"/>
    </row>
    <row r="73" spans="2:10" ht="14.15" hidden="1" customHeight="1" x14ac:dyDescent="0.25">
      <c r="B73" s="316"/>
      <c r="C73" s="316"/>
      <c r="D73" s="316"/>
      <c r="E73" s="316"/>
    </row>
    <row r="74" spans="2:10" ht="14.15" hidden="1" customHeight="1" x14ac:dyDescent="0.25">
      <c r="B74" s="245"/>
      <c r="D74" s="245"/>
      <c r="E74" s="245"/>
    </row>
    <row r="75" spans="2:10" ht="14.15" hidden="1" customHeight="1" x14ac:dyDescent="0.25">
      <c r="B75" s="251" t="s">
        <v>1171</v>
      </c>
      <c r="C75" s="251"/>
      <c r="D75" s="251"/>
      <c r="E75" s="251"/>
    </row>
    <row r="76" spans="2:10" ht="14.15" hidden="1" customHeight="1" x14ac:dyDescent="0.25">
      <c r="B76" s="245"/>
      <c r="D76" s="245"/>
      <c r="E76" s="245"/>
    </row>
    <row r="77" spans="2:10" ht="42" customHeight="1" x14ac:dyDescent="0.25">
      <c r="B77" s="432" t="s">
        <v>1678</v>
      </c>
      <c r="C77" s="432"/>
      <c r="D77" s="432"/>
      <c r="E77" s="432"/>
      <c r="F77" s="432"/>
      <c r="G77" s="432"/>
      <c r="H77" s="432"/>
      <c r="I77" s="432"/>
      <c r="J77" s="432"/>
    </row>
  </sheetData>
  <customSheetViews>
    <customSheetView guid="{EDC1BD6E-863A-4FC6-A3A9-F32079F4F0C1}">
      <selection activeCell="Q26" sqref="Q26"/>
      <pageMargins left="0" right="0" top="0" bottom="0" header="0" footer="0"/>
      <pageSetup paperSize="9" orientation="landscape" verticalDpi="0" r:id="rId1"/>
    </customSheetView>
  </customSheetViews>
  <mergeCells count="5">
    <mergeCell ref="B77:J77"/>
    <mergeCell ref="B21:J25"/>
    <mergeCell ref="B26:J26"/>
    <mergeCell ref="B28:J28"/>
    <mergeCell ref="B32:J33"/>
  </mergeCells>
  <pageMargins left="0.59055118110236227" right="0.59055118110236227" top="0.59055118110236227" bottom="0.59055118110236227" header="0" footer="0"/>
  <pageSetup paperSize="9" scale="92" orientation="portrait" r:id="rId2"/>
  <headerFooter>
    <oddFoote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2">
    <tabColor rgb="FF00B0F0"/>
    <pageSetUpPr fitToPage="1"/>
  </sheetPr>
  <dimension ref="A1:F84"/>
  <sheetViews>
    <sheetView workbookViewId="0"/>
  </sheetViews>
  <sheetFormatPr defaultColWidth="9.1796875" defaultRowHeight="14.15" customHeight="1" x14ac:dyDescent="0.25"/>
  <cols>
    <col min="1" max="1" width="0.7265625" style="31" customWidth="1"/>
    <col min="2" max="2" width="44.26953125" style="1" customWidth="1"/>
    <col min="3" max="3" width="10.54296875" style="1" customWidth="1"/>
    <col min="4" max="4" width="13.26953125" style="1" customWidth="1"/>
    <col min="5" max="5" width="13.7265625" style="1" customWidth="1"/>
    <col min="6" max="16384" width="9.1796875" style="1"/>
  </cols>
  <sheetData>
    <row r="1" spans="1:6" ht="14.15" customHeight="1" x14ac:dyDescent="0.25">
      <c r="A1" s="31">
        <f>'26-30 Provisions'!A60</f>
        <v>30.1</v>
      </c>
      <c r="B1" s="14" t="str">
        <f>'26-30 Provisions'!B60&amp;" Continued"</f>
        <v>Note 30.1 Financial risk management Continued</v>
      </c>
    </row>
    <row r="2" spans="1:6" ht="7.5" customHeight="1" x14ac:dyDescent="0.25">
      <c r="B2" s="14"/>
    </row>
    <row r="3" spans="1:6" ht="14.15" hidden="1" customHeight="1" x14ac:dyDescent="0.25">
      <c r="B3" s="14" t="str">
        <f>"Note "&amp;A3&amp; " Financial risk management"</f>
        <v>Note  Financial risk management</v>
      </c>
    </row>
    <row r="4" spans="1:6" ht="14.15" hidden="1" customHeight="1" x14ac:dyDescent="0.25">
      <c r="B4" s="255"/>
      <c r="C4" s="245"/>
      <c r="D4" s="245"/>
      <c r="E4" s="245"/>
      <c r="F4" s="245"/>
    </row>
    <row r="5" spans="1:6" ht="14.15" hidden="1" customHeight="1" x14ac:dyDescent="0.25">
      <c r="B5" s="316" t="s">
        <v>1169</v>
      </c>
      <c r="C5" s="316"/>
      <c r="D5" s="316"/>
      <c r="E5" s="316"/>
      <c r="F5" s="316"/>
    </row>
    <row r="6" spans="1:6" ht="14.15" hidden="1" customHeight="1" x14ac:dyDescent="0.25">
      <c r="B6" s="316"/>
      <c r="C6" s="316"/>
      <c r="D6" s="316"/>
      <c r="E6" s="316"/>
      <c r="F6" s="316"/>
    </row>
    <row r="7" spans="1:6" ht="14.15" hidden="1" customHeight="1" x14ac:dyDescent="0.25">
      <c r="B7" s="316"/>
      <c r="C7" s="316"/>
      <c r="D7" s="316"/>
      <c r="E7" s="316"/>
      <c r="F7" s="316"/>
    </row>
    <row r="8" spans="1:6" ht="14.15" hidden="1" customHeight="1" x14ac:dyDescent="0.25">
      <c r="B8" s="316"/>
      <c r="C8" s="316"/>
      <c r="D8" s="316"/>
      <c r="E8" s="316"/>
      <c r="F8" s="316"/>
    </row>
    <row r="9" spans="1:6" ht="14.15" hidden="1" customHeight="1" x14ac:dyDescent="0.25">
      <c r="B9" s="316"/>
      <c r="C9" s="316"/>
      <c r="D9" s="316"/>
      <c r="E9" s="316"/>
      <c r="F9" s="316"/>
    </row>
    <row r="10" spans="1:6" ht="14.15" hidden="1" customHeight="1" x14ac:dyDescent="0.25">
      <c r="B10" s="316"/>
      <c r="C10" s="316"/>
      <c r="D10" s="316"/>
      <c r="E10" s="316"/>
      <c r="F10" s="316"/>
    </row>
    <row r="11" spans="1:6" ht="14.15" hidden="1" customHeight="1" x14ac:dyDescent="0.25">
      <c r="B11" s="316"/>
      <c r="C11" s="316"/>
      <c r="D11" s="316"/>
      <c r="E11" s="316"/>
      <c r="F11" s="316"/>
    </row>
    <row r="12" spans="1:6" ht="14.15" hidden="1" customHeight="1" x14ac:dyDescent="0.25">
      <c r="B12" s="316"/>
      <c r="C12" s="316"/>
      <c r="D12" s="316"/>
      <c r="E12" s="316"/>
      <c r="F12" s="316"/>
    </row>
    <row r="13" spans="1:6" ht="14.15" hidden="1" customHeight="1" x14ac:dyDescent="0.25">
      <c r="B13" s="316" t="s">
        <v>1170</v>
      </c>
      <c r="C13" s="316"/>
      <c r="D13" s="316"/>
      <c r="E13" s="316"/>
      <c r="F13" s="316"/>
    </row>
    <row r="14" spans="1:6" ht="14.15" hidden="1" customHeight="1" x14ac:dyDescent="0.25">
      <c r="B14" s="316"/>
      <c r="C14" s="316"/>
      <c r="D14" s="316"/>
      <c r="E14" s="316"/>
      <c r="F14" s="316"/>
    </row>
    <row r="15" spans="1:6" ht="14.15" hidden="1" customHeight="1" x14ac:dyDescent="0.25">
      <c r="B15" s="316"/>
      <c r="C15" s="316"/>
      <c r="D15" s="316"/>
      <c r="E15" s="316"/>
      <c r="F15" s="316"/>
    </row>
    <row r="16" spans="1:6" ht="14.15" hidden="1" customHeight="1" x14ac:dyDescent="0.25">
      <c r="B16" s="316"/>
      <c r="C16" s="316"/>
      <c r="D16" s="316"/>
      <c r="E16" s="316"/>
      <c r="F16" s="316"/>
    </row>
    <row r="17" spans="1:6" ht="14.15" hidden="1" customHeight="1" x14ac:dyDescent="0.25">
      <c r="B17" s="245"/>
      <c r="C17" s="245"/>
      <c r="D17" s="245"/>
      <c r="E17" s="245"/>
      <c r="F17" s="245"/>
    </row>
    <row r="18" spans="1:6" ht="14.15" hidden="1" customHeight="1" x14ac:dyDescent="0.25">
      <c r="B18" s="251" t="s">
        <v>1171</v>
      </c>
      <c r="C18" s="251"/>
      <c r="D18" s="251"/>
      <c r="E18" s="251"/>
      <c r="F18" s="251"/>
    </row>
    <row r="19" spans="1:6" ht="14.15" hidden="1" customHeight="1" x14ac:dyDescent="0.25">
      <c r="B19" s="245"/>
      <c r="C19" s="245"/>
      <c r="D19" s="245"/>
      <c r="E19" s="245"/>
      <c r="F19" s="245"/>
    </row>
    <row r="20" spans="1:6" s="245" customFormat="1" ht="38.25" hidden="1" customHeight="1" x14ac:dyDescent="0.25">
      <c r="A20" s="243"/>
      <c r="B20" s="481" t="s">
        <v>1678</v>
      </c>
      <c r="C20" s="481"/>
      <c r="D20" s="481"/>
      <c r="E20" s="481"/>
      <c r="F20" s="347"/>
    </row>
    <row r="21" spans="1:6" ht="6" hidden="1" customHeight="1" x14ac:dyDescent="0.3">
      <c r="B21" s="298"/>
      <c r="C21" s="273"/>
      <c r="D21" s="273"/>
      <c r="E21" s="273"/>
      <c r="F21" s="273"/>
    </row>
    <row r="22" spans="1:6" ht="14.15" customHeight="1" x14ac:dyDescent="0.25">
      <c r="B22" s="383" t="s">
        <v>1679</v>
      </c>
      <c r="F22" s="273"/>
    </row>
    <row r="23" spans="1:6" ht="37.5" customHeight="1" x14ac:dyDescent="0.25">
      <c r="B23" s="432" t="s">
        <v>1680</v>
      </c>
      <c r="C23" s="432"/>
      <c r="D23" s="432"/>
      <c r="E23" s="432"/>
      <c r="F23" s="273"/>
    </row>
    <row r="24" spans="1:6" ht="7.5" customHeight="1" x14ac:dyDescent="0.25">
      <c r="F24" s="273"/>
    </row>
    <row r="25" spans="1:6" ht="14.15" customHeight="1" x14ac:dyDescent="0.25">
      <c r="B25" s="383" t="s">
        <v>1681</v>
      </c>
      <c r="F25" s="273"/>
    </row>
    <row r="26" spans="1:6" ht="6" customHeight="1" x14ac:dyDescent="0.25">
      <c r="F26" s="273"/>
    </row>
    <row r="27" spans="1:6" ht="49.5" customHeight="1" x14ac:dyDescent="0.25">
      <c r="B27" s="487" t="s">
        <v>1682</v>
      </c>
      <c r="C27" s="487"/>
      <c r="D27" s="487"/>
      <c r="E27" s="487"/>
      <c r="F27" s="345"/>
    </row>
    <row r="28" spans="1:6" ht="6.75" customHeight="1" x14ac:dyDescent="0.25">
      <c r="F28" s="273"/>
    </row>
    <row r="29" spans="1:6" ht="39" customHeight="1" x14ac:dyDescent="0.25">
      <c r="B29" s="487" t="s">
        <v>1683</v>
      </c>
      <c r="C29" s="487"/>
      <c r="D29" s="487"/>
      <c r="E29" s="487"/>
      <c r="F29" s="345"/>
    </row>
    <row r="30" spans="1:6" ht="8.25" customHeight="1" x14ac:dyDescent="0.25">
      <c r="B30" s="384"/>
      <c r="C30" s="385"/>
      <c r="D30" s="385"/>
      <c r="E30" s="385"/>
      <c r="F30" s="273"/>
    </row>
    <row r="31" spans="1:6" ht="14.15" hidden="1" customHeight="1" x14ac:dyDescent="0.25">
      <c r="B31" s="491" t="s">
        <v>1684</v>
      </c>
      <c r="C31" s="491"/>
      <c r="D31" s="491"/>
      <c r="E31" s="491"/>
      <c r="F31" s="341"/>
    </row>
    <row r="32" spans="1:6" ht="14.15" hidden="1" customHeight="1" x14ac:dyDescent="0.25">
      <c r="B32" s="386"/>
      <c r="C32" s="386"/>
      <c r="D32" s="386"/>
      <c r="E32" s="386"/>
      <c r="F32" s="341"/>
    </row>
    <row r="33" spans="1:6" ht="14.15" customHeight="1" x14ac:dyDescent="0.25">
      <c r="B33" s="383" t="s">
        <v>1685</v>
      </c>
      <c r="C33" s="385"/>
      <c r="D33" s="385"/>
      <c r="E33" s="385"/>
      <c r="F33" s="273"/>
    </row>
    <row r="34" spans="1:6" ht="37.5" customHeight="1" x14ac:dyDescent="0.25">
      <c r="B34" s="488" t="s">
        <v>1717</v>
      </c>
      <c r="C34" s="488"/>
      <c r="D34" s="488"/>
      <c r="E34" s="488"/>
      <c r="F34" s="346"/>
    </row>
    <row r="35" spans="1:6" ht="9" customHeight="1" x14ac:dyDescent="0.25">
      <c r="F35" s="273"/>
    </row>
    <row r="36" spans="1:6" ht="14.15" customHeight="1" x14ac:dyDescent="0.25">
      <c r="B36" s="387" t="s">
        <v>1687</v>
      </c>
      <c r="C36" s="385"/>
      <c r="D36" s="385"/>
      <c r="E36" s="385"/>
      <c r="F36" s="273"/>
    </row>
    <row r="37" spans="1:6" ht="41.25" customHeight="1" x14ac:dyDescent="0.25">
      <c r="B37" s="487" t="s">
        <v>1688</v>
      </c>
      <c r="C37" s="487"/>
      <c r="D37" s="487"/>
      <c r="E37" s="487"/>
      <c r="F37" s="345"/>
    </row>
    <row r="38" spans="1:6" ht="9.75" customHeight="1" x14ac:dyDescent="0.25"/>
    <row r="39" spans="1:6" ht="15" customHeight="1" x14ac:dyDescent="0.25">
      <c r="A39" s="31">
        <f>A1+0.1</f>
        <v>30.200000000000003</v>
      </c>
      <c r="B39" s="93" t="str">
        <f>"Note "&amp;A39&amp;" Carrying values of financial assets as at " &amp; TEXT(CurrentYearEnd, "d mmmm yyyy")</f>
        <v>Note 30.2 Carrying values of financial assets as at 31 March 2025</v>
      </c>
      <c r="C39" s="340"/>
      <c r="D39" s="340"/>
      <c r="E39" s="340"/>
      <c r="F39" s="273"/>
    </row>
    <row r="40" spans="1:6" s="399" customFormat="1" ht="42.75" customHeight="1" x14ac:dyDescent="0.25">
      <c r="B40" s="492" t="s">
        <v>1688</v>
      </c>
      <c r="C40" s="492"/>
      <c r="D40" s="492"/>
      <c r="E40" s="492"/>
      <c r="F40" s="400"/>
    </row>
    <row r="41" spans="1:6" ht="24.75" customHeight="1" x14ac:dyDescent="0.25">
      <c r="D41" s="226" t="s">
        <v>1172</v>
      </c>
      <c r="E41" s="226" t="s">
        <v>1173</v>
      </c>
      <c r="F41" s="14"/>
    </row>
    <row r="42" spans="1:6" ht="14.15" customHeight="1" x14ac:dyDescent="0.25">
      <c r="B42" s="25"/>
      <c r="D42" s="80" t="s">
        <v>542</v>
      </c>
      <c r="E42" s="80" t="s">
        <v>542</v>
      </c>
    </row>
    <row r="43" spans="1:6" ht="13.75" customHeight="1" x14ac:dyDescent="0.25">
      <c r="A43" s="1"/>
      <c r="B43" s="112" t="s">
        <v>1174</v>
      </c>
      <c r="D43" s="41">
        <v>2609</v>
      </c>
      <c r="E43" s="50">
        <f>SUM(D43:D43)</f>
        <v>2609</v>
      </c>
    </row>
    <row r="44" spans="1:6" s="245" customFormat="1" ht="13.75" hidden="1" customHeight="1" x14ac:dyDescent="0.25">
      <c r="B44" s="224" t="s">
        <v>508</v>
      </c>
      <c r="D44" s="218">
        <v>0</v>
      </c>
      <c r="E44" s="227">
        <f>SUM(D44:D44)</f>
        <v>0</v>
      </c>
    </row>
    <row r="45" spans="1:6" ht="13.75" customHeight="1" x14ac:dyDescent="0.25">
      <c r="A45" s="1"/>
      <c r="B45" s="112" t="s">
        <v>516</v>
      </c>
      <c r="D45" s="41">
        <v>59112</v>
      </c>
      <c r="E45" s="50">
        <f>SUM(D45:D45)</f>
        <v>59112</v>
      </c>
    </row>
    <row r="46" spans="1:6" ht="14.15" customHeight="1" thickBot="1" x14ac:dyDescent="0.3">
      <c r="A46" s="1"/>
      <c r="B46" s="93" t="str">
        <f>"Total at " &amp; TEXT(CurrentYearEnd, "d mmmm yyyy")</f>
        <v>Total at 31 March 2025</v>
      </c>
      <c r="D46" s="42">
        <f>SUM(D43:D45)</f>
        <v>61721</v>
      </c>
      <c r="E46" s="42">
        <f>SUM(E43:E45)</f>
        <v>61721</v>
      </c>
    </row>
    <row r="47" spans="1:6" ht="14.15" customHeight="1" thickTop="1" x14ac:dyDescent="0.25">
      <c r="A47" s="1"/>
      <c r="B47" s="14"/>
      <c r="D47" s="14"/>
    </row>
    <row r="48" spans="1:6" ht="26.25" customHeight="1" x14ac:dyDescent="0.25">
      <c r="A48" s="1"/>
      <c r="B48" s="14" t="str">
        <f>"Carrying values of financial assets as at " &amp; TEXT(ComparativeYearEnd, "d mmmm yyyy")</f>
        <v>Carrying values of financial assets as at 31 March 2024</v>
      </c>
      <c r="D48" s="226" t="s">
        <v>1172</v>
      </c>
      <c r="E48" s="226" t="s">
        <v>1173</v>
      </c>
      <c r="F48" s="14"/>
    </row>
    <row r="49" spans="1:6" ht="14.15" customHeight="1" x14ac:dyDescent="0.25">
      <c r="A49" s="1"/>
      <c r="B49" s="25"/>
      <c r="D49" s="80" t="s">
        <v>542</v>
      </c>
      <c r="E49" s="80" t="s">
        <v>542</v>
      </c>
    </row>
    <row r="50" spans="1:6" ht="13.75" customHeight="1" x14ac:dyDescent="0.25">
      <c r="A50" s="1"/>
      <c r="B50" s="112" t="s">
        <v>1174</v>
      </c>
      <c r="D50" s="41">
        <v>3062</v>
      </c>
      <c r="E50" s="50">
        <f>SUM(D50:D50)</f>
        <v>3062</v>
      </c>
      <c r="F50" s="152"/>
    </row>
    <row r="51" spans="1:6" s="245" customFormat="1" ht="14.15" hidden="1" customHeight="1" x14ac:dyDescent="0.25">
      <c r="B51" s="216" t="s">
        <v>508</v>
      </c>
      <c r="D51" s="218">
        <v>0</v>
      </c>
      <c r="E51" s="227">
        <f>SUM(D51:D51)</f>
        <v>0</v>
      </c>
    </row>
    <row r="52" spans="1:6" ht="13.75" customHeight="1" x14ac:dyDescent="0.25">
      <c r="A52" s="1"/>
      <c r="B52" s="105" t="s">
        <v>516</v>
      </c>
      <c r="D52" s="41">
        <v>61030</v>
      </c>
      <c r="E52" s="50">
        <f>SUM(D52:D52)</f>
        <v>61030</v>
      </c>
    </row>
    <row r="53" spans="1:6" ht="14.15" customHeight="1" thickBot="1" x14ac:dyDescent="0.3">
      <c r="A53" s="1"/>
      <c r="B53" s="93" t="str">
        <f>"Total at " &amp; TEXT(ComparativeYearEnd, "d mmmm yyyy")</f>
        <v>Total at 31 March 2024</v>
      </c>
      <c r="D53" s="42">
        <f>SUM(D50:D52)</f>
        <v>64092</v>
      </c>
      <c r="E53" s="42">
        <f>SUM(E50:E52)</f>
        <v>64092</v>
      </c>
    </row>
    <row r="54" spans="1:6" ht="12.25" customHeight="1" thickTop="1" x14ac:dyDescent="0.25">
      <c r="A54" s="1"/>
      <c r="B54" s="14"/>
      <c r="C54" s="14"/>
      <c r="D54" s="14"/>
    </row>
    <row r="55" spans="1:6" s="245" customFormat="1" ht="14.15" hidden="1" customHeight="1" thickTop="1" x14ac:dyDescent="0.25">
      <c r="A55" s="243"/>
      <c r="B55" s="343" t="s">
        <v>1175</v>
      </c>
      <c r="C55" s="221"/>
      <c r="D55" s="268"/>
      <c r="E55" s="268"/>
    </row>
    <row r="56" spans="1:6" s="245" customFormat="1" ht="24.4" hidden="1" customHeight="1" x14ac:dyDescent="0.25">
      <c r="A56" s="243"/>
      <c r="B56" s="490" t="s">
        <v>1176</v>
      </c>
      <c r="C56" s="490"/>
      <c r="D56" s="490"/>
      <c r="E56" s="490"/>
    </row>
    <row r="57" spans="1:6" s="245" customFormat="1" ht="14.15" hidden="1" customHeight="1" x14ac:dyDescent="0.25">
      <c r="A57" s="243"/>
      <c r="B57" s="344" t="s">
        <v>1177</v>
      </c>
      <c r="C57" s="344"/>
      <c r="D57" s="344"/>
      <c r="E57" s="344"/>
    </row>
    <row r="58" spans="1:6" s="245" customFormat="1" ht="14.15" hidden="1" customHeight="1" x14ac:dyDescent="0.25">
      <c r="A58" s="243"/>
      <c r="B58" s="344" t="s">
        <v>1178</v>
      </c>
      <c r="C58" s="344"/>
      <c r="D58" s="344"/>
      <c r="E58" s="344"/>
    </row>
    <row r="59" spans="1:6" ht="5.5" customHeight="1" x14ac:dyDescent="0.25">
      <c r="B59" s="153"/>
      <c r="C59" s="153"/>
      <c r="D59" s="153"/>
      <c r="E59" s="153"/>
    </row>
    <row r="60" spans="1:6" ht="14.15" customHeight="1" x14ac:dyDescent="0.25">
      <c r="A60" s="31">
        <f>A39+0.1</f>
        <v>30.300000000000004</v>
      </c>
      <c r="B60" s="93" t="str">
        <f>"Note "&amp;A60&amp; " Carrying values of financial liabilities"</f>
        <v>Note 30.3 Carrying values of financial liabilities</v>
      </c>
    </row>
    <row r="61" spans="1:6" ht="29.25" customHeight="1" x14ac:dyDescent="0.25">
      <c r="B61" s="93" t="str">
        <f>"Carrying values of financial liabilities as at " &amp; TEXT(CurrentYearEnd, "d mmmm yyyy")</f>
        <v>Carrying values of financial liabilities as at 31 March 2025</v>
      </c>
      <c r="C61" s="14"/>
      <c r="D61" s="226" t="s">
        <v>1172</v>
      </c>
      <c r="E61" s="226" t="s">
        <v>1173</v>
      </c>
      <c r="F61" s="14"/>
    </row>
    <row r="62" spans="1:6" ht="14.15" customHeight="1" x14ac:dyDescent="0.25">
      <c r="B62" s="14"/>
      <c r="C62" s="14"/>
      <c r="D62" s="80" t="s">
        <v>542</v>
      </c>
      <c r="E62" s="80" t="s">
        <v>542</v>
      </c>
    </row>
    <row r="63" spans="1:6" s="245" customFormat="1" ht="14.15" hidden="1" customHeight="1" x14ac:dyDescent="0.25">
      <c r="A63" s="243"/>
      <c r="B63" s="224" t="s">
        <v>1179</v>
      </c>
      <c r="C63" s="224"/>
      <c r="D63" s="218">
        <v>0</v>
      </c>
      <c r="E63" s="227">
        <f t="shared" ref="E63:E69" si="0">SUM(D63:D63)</f>
        <v>0</v>
      </c>
    </row>
    <row r="64" spans="1:6" ht="14.15" customHeight="1" x14ac:dyDescent="0.25">
      <c r="A64" s="1"/>
      <c r="B64" s="112" t="s">
        <v>1410</v>
      </c>
      <c r="C64" s="112"/>
      <c r="D64" s="41">
        <v>21841</v>
      </c>
      <c r="E64" s="50">
        <f t="shared" si="0"/>
        <v>21841</v>
      </c>
    </row>
    <row r="65" spans="1:6" s="245" customFormat="1" ht="14.15" hidden="1" customHeight="1" x14ac:dyDescent="0.25">
      <c r="B65" s="224" t="s">
        <v>1180</v>
      </c>
      <c r="C65" s="224"/>
      <c r="D65" s="218">
        <v>0</v>
      </c>
      <c r="E65" s="227">
        <f t="shared" si="0"/>
        <v>0</v>
      </c>
    </row>
    <row r="66" spans="1:6" s="245" customFormat="1" ht="14.15" hidden="1" customHeight="1" x14ac:dyDescent="0.25">
      <c r="B66" s="224" t="s">
        <v>1181</v>
      </c>
      <c r="C66" s="224"/>
      <c r="D66" s="218">
        <v>0</v>
      </c>
      <c r="E66" s="227">
        <f t="shared" si="0"/>
        <v>0</v>
      </c>
    </row>
    <row r="67" spans="1:6" ht="14.15" customHeight="1" x14ac:dyDescent="0.25">
      <c r="A67" s="1"/>
      <c r="B67" s="112" t="s">
        <v>1182</v>
      </c>
      <c r="C67" s="112"/>
      <c r="D67" s="41">
        <v>43798</v>
      </c>
      <c r="E67" s="50">
        <f t="shared" si="0"/>
        <v>43798</v>
      </c>
    </row>
    <row r="68" spans="1:6" s="245" customFormat="1" ht="14.15" hidden="1" customHeight="1" x14ac:dyDescent="0.25">
      <c r="B68" s="224" t="s">
        <v>521</v>
      </c>
      <c r="C68" s="224"/>
      <c r="D68" s="218">
        <v>0</v>
      </c>
      <c r="E68" s="227">
        <f t="shared" si="0"/>
        <v>0</v>
      </c>
    </row>
    <row r="69" spans="1:6" s="245" customFormat="1" ht="14.15" hidden="1" customHeight="1" thickBot="1" x14ac:dyDescent="0.3">
      <c r="B69" s="224" t="s">
        <v>1183</v>
      </c>
      <c r="C69" s="224"/>
      <c r="D69" s="218">
        <v>0</v>
      </c>
      <c r="E69" s="227">
        <f t="shared" si="0"/>
        <v>0</v>
      </c>
    </row>
    <row r="70" spans="1:6" ht="14.15" customHeight="1" thickBot="1" x14ac:dyDescent="0.3">
      <c r="A70" s="1"/>
      <c r="B70" s="489" t="str">
        <f>"Total at " &amp; TEXT(CurrentYearEnd, "d mmmm yyyy")</f>
        <v>Total at 31 March 2025</v>
      </c>
      <c r="C70" s="489"/>
      <c r="D70" s="140">
        <f>SUM(D63:D69)</f>
        <v>65639</v>
      </c>
      <c r="E70" s="140">
        <f>SUM(E63:E69)</f>
        <v>65639</v>
      </c>
    </row>
    <row r="71" spans="1:6" ht="14.15" customHeight="1" thickTop="1" x14ac:dyDescent="0.25">
      <c r="A71" s="1"/>
      <c r="B71" s="27"/>
      <c r="C71" s="27"/>
    </row>
    <row r="72" spans="1:6" ht="27.75" customHeight="1" x14ac:dyDescent="0.25">
      <c r="A72" s="1"/>
      <c r="B72" s="93" t="str">
        <f>"Carrying values of financial liabilities as at " &amp; TEXT(ComparativeYearEnd, "d mmmm yyyy")</f>
        <v>Carrying values of financial liabilities as at 31 March 2024</v>
      </c>
      <c r="C72" s="14"/>
      <c r="D72" s="226" t="s">
        <v>1172</v>
      </c>
      <c r="E72" s="226" t="s">
        <v>1173</v>
      </c>
      <c r="F72" s="14"/>
    </row>
    <row r="73" spans="1:6" ht="14.15" customHeight="1" x14ac:dyDescent="0.25">
      <c r="A73" s="1"/>
      <c r="B73" s="14"/>
      <c r="C73" s="14"/>
      <c r="D73" s="80" t="s">
        <v>542</v>
      </c>
      <c r="E73" s="80" t="s">
        <v>542</v>
      </c>
    </row>
    <row r="74" spans="1:6" s="245" customFormat="1" ht="14.15" hidden="1" customHeight="1" x14ac:dyDescent="0.25">
      <c r="B74" s="224" t="s">
        <v>1179</v>
      </c>
      <c r="C74" s="224"/>
      <c r="D74" s="218">
        <v>0</v>
      </c>
      <c r="E74" s="227">
        <f t="shared" ref="E74:E80" si="1">SUM(D74:D74)</f>
        <v>0</v>
      </c>
      <c r="F74" s="343"/>
    </row>
    <row r="75" spans="1:6" ht="14.15" customHeight="1" x14ac:dyDescent="0.25">
      <c r="A75" s="1"/>
      <c r="B75" s="112" t="s">
        <v>1410</v>
      </c>
      <c r="C75" s="112"/>
      <c r="D75" s="41">
        <v>19215.092000000001</v>
      </c>
      <c r="E75" s="50">
        <f t="shared" si="1"/>
        <v>19215.092000000001</v>
      </c>
    </row>
    <row r="76" spans="1:6" s="245" customFormat="1" ht="14.15" hidden="1" customHeight="1" x14ac:dyDescent="0.25">
      <c r="B76" s="224" t="s">
        <v>1180</v>
      </c>
      <c r="C76" s="224"/>
      <c r="D76" s="218">
        <v>0</v>
      </c>
      <c r="E76" s="227">
        <f t="shared" si="1"/>
        <v>0</v>
      </c>
    </row>
    <row r="77" spans="1:6" s="245" customFormat="1" ht="14.15" hidden="1" customHeight="1" x14ac:dyDescent="0.25">
      <c r="B77" s="224" t="s">
        <v>1181</v>
      </c>
      <c r="C77" s="224"/>
      <c r="D77" s="218">
        <v>0</v>
      </c>
      <c r="E77" s="227">
        <f t="shared" si="1"/>
        <v>0</v>
      </c>
    </row>
    <row r="78" spans="1:6" ht="14.15" customHeight="1" x14ac:dyDescent="0.25">
      <c r="A78" s="1"/>
      <c r="B78" s="112" t="s">
        <v>1182</v>
      </c>
      <c r="C78" s="112"/>
      <c r="D78" s="41">
        <v>47178</v>
      </c>
      <c r="E78" s="50">
        <f t="shared" si="1"/>
        <v>47178</v>
      </c>
    </row>
    <row r="79" spans="1:6" s="245" customFormat="1" ht="14.15" hidden="1" customHeight="1" x14ac:dyDescent="0.25">
      <c r="B79" s="224" t="s">
        <v>521</v>
      </c>
      <c r="C79" s="224"/>
      <c r="D79" s="218">
        <v>0</v>
      </c>
      <c r="E79" s="227">
        <f t="shared" si="1"/>
        <v>0</v>
      </c>
    </row>
    <row r="80" spans="1:6" s="245" customFormat="1" ht="14.15" hidden="1" customHeight="1" x14ac:dyDescent="0.25">
      <c r="B80" s="224" t="s">
        <v>1183</v>
      </c>
      <c r="C80" s="224"/>
      <c r="D80" s="218">
        <v>0</v>
      </c>
      <c r="E80" s="227">
        <f t="shared" si="1"/>
        <v>0</v>
      </c>
    </row>
    <row r="81" spans="1:5" ht="14.15" customHeight="1" thickBot="1" x14ac:dyDescent="0.3">
      <c r="A81" s="1"/>
      <c r="B81" s="489" t="str">
        <f>"Total at " &amp; TEXT(ComparativeYearEnd, "d mmmm yyyy")</f>
        <v>Total at 31 March 2024</v>
      </c>
      <c r="C81" s="489"/>
      <c r="D81" s="42">
        <f>SUM(D74:D80)</f>
        <v>66393.092000000004</v>
      </c>
      <c r="E81" s="42">
        <f>SUM(E74:E80)</f>
        <v>66393.092000000004</v>
      </c>
    </row>
    <row r="82" spans="1:5" ht="14.15" customHeight="1" thickTop="1" x14ac:dyDescent="0.25">
      <c r="A82" s="1"/>
    </row>
    <row r="83" spans="1:5" ht="14.15" customHeight="1" x14ac:dyDescent="0.25">
      <c r="B83" s="100" t="s">
        <v>1756</v>
      </c>
      <c r="C83" s="14"/>
    </row>
    <row r="84" spans="1:5" ht="14.15" customHeight="1" x14ac:dyDescent="0.25">
      <c r="B84" s="14"/>
      <c r="C84" s="14"/>
    </row>
  </sheetData>
  <customSheetViews>
    <customSheetView guid="{EDC1BD6E-863A-4FC6-A3A9-F32079F4F0C1}" topLeftCell="A109">
      <selection activeCell="G146" sqref="G146"/>
      <pageMargins left="0" right="0" top="0" bottom="0" header="0" footer="0"/>
      <pageSetup paperSize="9" orientation="portrait" verticalDpi="0" r:id="rId1"/>
    </customSheetView>
  </customSheetViews>
  <mergeCells count="11">
    <mergeCell ref="B81:C81"/>
    <mergeCell ref="B70:C70"/>
    <mergeCell ref="B56:E56"/>
    <mergeCell ref="B31:E31"/>
    <mergeCell ref="B37:E37"/>
    <mergeCell ref="B40:E40"/>
    <mergeCell ref="B20:E20"/>
    <mergeCell ref="B23:E23"/>
    <mergeCell ref="B27:E27"/>
    <mergeCell ref="B29:E29"/>
    <mergeCell ref="B34:E34"/>
  </mergeCells>
  <pageMargins left="0.59055118110236227" right="0.59055118110236227" top="0.59055118110236227" bottom="0.59055118110236227" header="0" footer="0"/>
  <pageSetup paperSize="9" scale="91" orientation="portrait" r:id="rId2"/>
  <headerFooter>
    <oddFoote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3">
    <tabColor rgb="FF00B0F0"/>
  </sheetPr>
  <dimension ref="A1:I70"/>
  <sheetViews>
    <sheetView workbookViewId="0"/>
  </sheetViews>
  <sheetFormatPr defaultColWidth="9.1796875" defaultRowHeight="14.15" customHeight="1" x14ac:dyDescent="0.25"/>
  <cols>
    <col min="1" max="1" width="1.453125" style="31" customWidth="1"/>
    <col min="2" max="2" width="42" style="1" customWidth="1"/>
    <col min="3" max="4" width="10.7265625" style="1" customWidth="1"/>
    <col min="5" max="5" width="0.7265625" style="1" customWidth="1"/>
    <col min="6" max="7" width="10.7265625" style="1" customWidth="1"/>
    <col min="8" max="16384" width="9.1796875" style="1"/>
  </cols>
  <sheetData>
    <row r="1" spans="1:7" ht="14.15" customHeight="1" x14ac:dyDescent="0.25">
      <c r="A1" s="31">
        <f>'30 FI'!A60+0.1</f>
        <v>30.400000000000006</v>
      </c>
      <c r="B1" s="14" t="str">
        <f>"Note "&amp; A1&amp; " Maturity of financial liabilities"</f>
        <v>Note 30.4 Maturity of financial liabilities</v>
      </c>
      <c r="C1" s="93"/>
      <c r="D1" s="93"/>
      <c r="E1" s="93"/>
    </row>
    <row r="2" spans="1:7" ht="43.5" customHeight="1" x14ac:dyDescent="0.25">
      <c r="B2" s="432" t="s">
        <v>1185</v>
      </c>
      <c r="C2" s="432"/>
      <c r="D2" s="432"/>
      <c r="E2" s="432"/>
      <c r="F2" s="432"/>
      <c r="G2" s="432"/>
    </row>
    <row r="3" spans="1:7" ht="27" customHeight="1" x14ac:dyDescent="0.25">
      <c r="B3" s="14"/>
      <c r="D3" s="80"/>
      <c r="F3" s="80" t="str">
        <f xml:space="preserve"> TEXT(CurrentYearEnd, "d mmmm yyyy")</f>
        <v>31 March 2025</v>
      </c>
      <c r="G3" s="80" t="str">
        <f>TEXT(ComparativeYearEnd, "d mmmm yyyy")</f>
        <v>31 March 2024</v>
      </c>
    </row>
    <row r="4" spans="1:7" ht="14.15" customHeight="1" x14ac:dyDescent="0.25">
      <c r="B4" s="14"/>
      <c r="D4" s="80"/>
      <c r="F4" s="80" t="s">
        <v>542</v>
      </c>
      <c r="G4" s="80" t="s">
        <v>542</v>
      </c>
    </row>
    <row r="5" spans="1:7" ht="14.15" customHeight="1" x14ac:dyDescent="0.25">
      <c r="B5" s="105" t="s">
        <v>1186</v>
      </c>
      <c r="D5" s="41"/>
      <c r="F5" s="41">
        <v>48659</v>
      </c>
      <c r="G5" s="41">
        <v>50686.508999999998</v>
      </c>
    </row>
    <row r="6" spans="1:7" ht="14.15" customHeight="1" x14ac:dyDescent="0.25">
      <c r="B6" s="105" t="s">
        <v>1187</v>
      </c>
      <c r="D6" s="41"/>
      <c r="F6" s="41">
        <v>7849</v>
      </c>
      <c r="G6" s="41">
        <v>5975.8540000000003</v>
      </c>
    </row>
    <row r="7" spans="1:7" ht="14.15" customHeight="1" x14ac:dyDescent="0.25">
      <c r="B7" s="105" t="s">
        <v>1188</v>
      </c>
      <c r="D7" s="41"/>
      <c r="F7" s="41">
        <v>10904</v>
      </c>
      <c r="G7" s="41">
        <v>11299.728999999999</v>
      </c>
    </row>
    <row r="8" spans="1:7" ht="14.15" customHeight="1" thickBot="1" x14ac:dyDescent="0.4">
      <c r="B8" s="93" t="s">
        <v>541</v>
      </c>
      <c r="D8"/>
      <c r="F8" s="42">
        <f>SUM(F5:F7)</f>
        <v>67412</v>
      </c>
      <c r="G8" s="42">
        <v>67963</v>
      </c>
    </row>
    <row r="9" spans="1:7" s="245" customFormat="1" ht="14.15" hidden="1" customHeight="1" thickTop="1" x14ac:dyDescent="0.25">
      <c r="A9" s="243"/>
    </row>
    <row r="10" spans="1:7" ht="14.15" customHeight="1" thickTop="1" x14ac:dyDescent="0.25"/>
    <row r="11" spans="1:7" ht="14.15" customHeight="1" x14ac:dyDescent="0.25">
      <c r="A11" s="31">
        <f>ROUNDDOWN('FI3'!A13,0)+1</f>
        <v>31</v>
      </c>
      <c r="B11" s="14" t="str">
        <f>"Note "&amp;A11&amp; " Losses and special payments"</f>
        <v>Note 31 Losses and special payments</v>
      </c>
      <c r="C11" s="14"/>
      <c r="D11" s="14"/>
      <c r="E11" s="14"/>
      <c r="F11" s="14"/>
      <c r="G11" s="14"/>
    </row>
    <row r="12" spans="1:7" ht="14.15" customHeight="1" x14ac:dyDescent="0.25">
      <c r="B12" s="14"/>
      <c r="C12" s="455" t="str">
        <f>CurrentFY</f>
        <v>2024/25</v>
      </c>
      <c r="D12" s="455"/>
      <c r="E12" s="89"/>
      <c r="F12" s="455" t="str">
        <f>ComparativeFY</f>
        <v>2023/24</v>
      </c>
      <c r="G12" s="455"/>
    </row>
    <row r="13" spans="1:7" ht="36" customHeight="1" x14ac:dyDescent="0.25">
      <c r="B13" s="14"/>
      <c r="C13" s="226" t="s">
        <v>1191</v>
      </c>
      <c r="D13" s="226" t="s">
        <v>1192</v>
      </c>
      <c r="E13" s="226"/>
      <c r="F13" s="226" t="s">
        <v>1191</v>
      </c>
      <c r="G13" s="226" t="s">
        <v>1192</v>
      </c>
    </row>
    <row r="14" spans="1:7" ht="14.15" customHeight="1" x14ac:dyDescent="0.25">
      <c r="B14" s="14"/>
      <c r="C14" s="80" t="s">
        <v>1057</v>
      </c>
      <c r="D14" s="80" t="s">
        <v>542</v>
      </c>
      <c r="E14" s="80"/>
      <c r="F14" s="80" t="s">
        <v>1057</v>
      </c>
      <c r="G14" s="80" t="s">
        <v>542</v>
      </c>
    </row>
    <row r="15" spans="1:7" s="245" customFormat="1" ht="14.15" hidden="1" customHeight="1" x14ac:dyDescent="0.25">
      <c r="A15" s="243"/>
      <c r="B15" s="255"/>
      <c r="C15" s="300"/>
      <c r="D15" s="300"/>
      <c r="E15" s="300"/>
      <c r="F15" s="300"/>
      <c r="G15" s="300"/>
    </row>
    <row r="16" spans="1:7" ht="14.15" customHeight="1" x14ac:dyDescent="0.25">
      <c r="B16" s="14" t="s">
        <v>1193</v>
      </c>
      <c r="C16" s="41"/>
      <c r="D16" s="41"/>
      <c r="E16" s="41"/>
      <c r="F16" s="41"/>
      <c r="G16" s="41"/>
    </row>
    <row r="17" spans="1:7" ht="14.15" customHeight="1" x14ac:dyDescent="0.25">
      <c r="B17" s="105" t="s">
        <v>1194</v>
      </c>
      <c r="C17" s="41">
        <v>54</v>
      </c>
      <c r="D17" s="41">
        <v>31</v>
      </c>
      <c r="E17" s="41"/>
      <c r="F17" s="41">
        <v>24</v>
      </c>
      <c r="G17" s="41">
        <v>13.83928</v>
      </c>
    </row>
    <row r="18" spans="1:7" s="245" customFormat="1" ht="14.15" hidden="1" customHeight="1" x14ac:dyDescent="0.25">
      <c r="A18" s="243"/>
      <c r="B18" s="216" t="s">
        <v>1195</v>
      </c>
      <c r="C18" s="218">
        <v>0</v>
      </c>
      <c r="D18" s="218">
        <v>0</v>
      </c>
      <c r="E18" s="218"/>
      <c r="F18" s="218">
        <v>0</v>
      </c>
      <c r="G18" s="218">
        <v>0</v>
      </c>
    </row>
    <row r="19" spans="1:7" s="245" customFormat="1" ht="14.15" hidden="1" customHeight="1" x14ac:dyDescent="0.25">
      <c r="A19" s="243"/>
      <c r="B19" s="216" t="s">
        <v>1196</v>
      </c>
      <c r="C19" s="218">
        <v>0</v>
      </c>
      <c r="D19" s="218">
        <v>0</v>
      </c>
      <c r="E19" s="218"/>
      <c r="F19" s="218">
        <v>0</v>
      </c>
      <c r="G19" s="218">
        <v>0</v>
      </c>
    </row>
    <row r="20" spans="1:7" ht="14.15" customHeight="1" x14ac:dyDescent="0.25">
      <c r="B20" s="105" t="s">
        <v>1197</v>
      </c>
      <c r="C20" s="41">
        <v>307</v>
      </c>
      <c r="D20" s="41">
        <v>125.79068000000001</v>
      </c>
      <c r="E20" s="41"/>
      <c r="F20" s="41">
        <v>191</v>
      </c>
      <c r="G20" s="41">
        <v>61.026769999999999</v>
      </c>
    </row>
    <row r="21" spans="1:7" ht="14.15" customHeight="1" x14ac:dyDescent="0.25">
      <c r="B21" s="14" t="s">
        <v>1198</v>
      </c>
      <c r="C21" s="43">
        <f>SUM(C17:C20)</f>
        <v>361</v>
      </c>
      <c r="D21" s="43">
        <f>SUM(D17:D20)</f>
        <v>156.79068000000001</v>
      </c>
      <c r="E21" s="41"/>
      <c r="F21" s="43">
        <f>SUM(F17:F20)</f>
        <v>215</v>
      </c>
      <c r="G21" s="43">
        <f>SUM(G17:G20)</f>
        <v>74.866050000000001</v>
      </c>
    </row>
    <row r="22" spans="1:7" ht="14.15" customHeight="1" x14ac:dyDescent="0.25">
      <c r="B22" s="14" t="s">
        <v>1199</v>
      </c>
      <c r="C22" s="41"/>
      <c r="D22" s="41"/>
      <c r="E22" s="41"/>
      <c r="F22" s="41"/>
      <c r="G22" s="41"/>
    </row>
    <row r="23" spans="1:7" ht="25.5" customHeight="1" x14ac:dyDescent="0.25">
      <c r="B23" s="105" t="s">
        <v>1200</v>
      </c>
      <c r="C23" s="41">
        <v>21</v>
      </c>
      <c r="D23" s="41">
        <v>112</v>
      </c>
      <c r="E23" s="41"/>
      <c r="F23" s="41">
        <v>20</v>
      </c>
      <c r="G23" s="41">
        <v>111</v>
      </c>
    </row>
    <row r="24" spans="1:7" s="245" customFormat="1" ht="14.15" hidden="1" customHeight="1" x14ac:dyDescent="0.25">
      <c r="A24" s="243"/>
      <c r="B24" s="216" t="s">
        <v>1201</v>
      </c>
      <c r="C24" s="218">
        <v>0</v>
      </c>
      <c r="D24" s="218">
        <v>0</v>
      </c>
      <c r="E24" s="218"/>
      <c r="F24" s="218">
        <v>0</v>
      </c>
      <c r="G24" s="218">
        <v>0</v>
      </c>
    </row>
    <row r="25" spans="1:7" ht="14.15" customHeight="1" x14ac:dyDescent="0.25">
      <c r="B25" s="105" t="s">
        <v>1202</v>
      </c>
      <c r="C25" s="41">
        <v>0</v>
      </c>
      <c r="D25" s="41">
        <v>0</v>
      </c>
      <c r="E25" s="41"/>
      <c r="F25" s="41">
        <v>12</v>
      </c>
      <c r="G25" s="41">
        <v>5.9463200000000001</v>
      </c>
    </row>
    <row r="26" spans="1:7" s="245" customFormat="1" ht="14.15" hidden="1" customHeight="1" x14ac:dyDescent="0.25">
      <c r="A26" s="243"/>
      <c r="B26" s="216" t="s">
        <v>1203</v>
      </c>
      <c r="C26" s="218">
        <v>0</v>
      </c>
      <c r="D26" s="218">
        <v>0</v>
      </c>
      <c r="E26" s="218"/>
      <c r="F26" s="218">
        <v>0</v>
      </c>
      <c r="G26" s="218">
        <v>0</v>
      </c>
    </row>
    <row r="27" spans="1:7" s="245" customFormat="1" ht="14.15" hidden="1" customHeight="1" x14ac:dyDescent="0.25">
      <c r="A27" s="243"/>
      <c r="B27" s="216" t="s">
        <v>1204</v>
      </c>
      <c r="C27" s="218">
        <v>0</v>
      </c>
      <c r="D27" s="218">
        <v>0</v>
      </c>
      <c r="E27" s="218"/>
      <c r="F27" s="218">
        <v>0</v>
      </c>
      <c r="G27" s="218">
        <v>0</v>
      </c>
    </row>
    <row r="28" spans="1:7" ht="14.15" customHeight="1" x14ac:dyDescent="0.25">
      <c r="B28" s="14" t="s">
        <v>1205</v>
      </c>
      <c r="C28" s="43">
        <f>SUM(C23:C27)</f>
        <v>21</v>
      </c>
      <c r="D28" s="43">
        <f>SUM(D23:D27)</f>
        <v>112</v>
      </c>
      <c r="E28" s="41"/>
      <c r="F28" s="43">
        <f>SUM(F23:F27)</f>
        <v>32</v>
      </c>
      <c r="G28" s="43">
        <f>SUM(G23:G27)</f>
        <v>116.94632</v>
      </c>
    </row>
    <row r="29" spans="1:7" ht="14.15" customHeight="1" thickBot="1" x14ac:dyDescent="0.3">
      <c r="B29" s="93" t="s">
        <v>1206</v>
      </c>
      <c r="C29" s="42">
        <f>C21+C28</f>
        <v>382</v>
      </c>
      <c r="D29" s="42">
        <f>D21+D28</f>
        <v>268.79068000000001</v>
      </c>
      <c r="E29" s="88"/>
      <c r="F29" s="42">
        <f>F21+F28</f>
        <v>247</v>
      </c>
      <c r="G29" s="42">
        <f>G21+G28</f>
        <v>191.81236999999999</v>
      </c>
    </row>
    <row r="30" spans="1:7" ht="14.15" customHeight="1" thickTop="1" x14ac:dyDescent="0.25">
      <c r="B30" s="111" t="s">
        <v>1207</v>
      </c>
      <c r="C30" s="41"/>
      <c r="D30" s="41"/>
      <c r="E30" s="41"/>
      <c r="F30" s="41"/>
      <c r="G30" s="41"/>
    </row>
    <row r="31" spans="1:7" ht="14.15" customHeight="1" x14ac:dyDescent="0.25">
      <c r="B31" s="14"/>
      <c r="C31" s="26"/>
      <c r="D31" s="26"/>
      <c r="E31" s="23"/>
      <c r="F31" s="26"/>
      <c r="G31" s="26"/>
    </row>
    <row r="32" spans="1:7" s="245" customFormat="1" ht="14.15" hidden="1" customHeight="1" x14ac:dyDescent="0.25">
      <c r="A32" s="243"/>
      <c r="B32" s="348" t="s">
        <v>1208</v>
      </c>
      <c r="C32" s="349"/>
      <c r="D32" s="349"/>
      <c r="E32" s="349"/>
      <c r="F32" s="349"/>
      <c r="G32" s="349"/>
    </row>
    <row r="33" spans="1:7" s="245" customFormat="1" ht="14.15" hidden="1" customHeight="1" x14ac:dyDescent="0.25">
      <c r="A33" s="243"/>
      <c r="B33" s="463" t="s">
        <v>1209</v>
      </c>
      <c r="C33" s="463"/>
      <c r="D33" s="463"/>
      <c r="E33" s="463"/>
      <c r="F33" s="463"/>
      <c r="G33" s="463"/>
    </row>
    <row r="34" spans="1:7" s="245" customFormat="1" ht="14.15" hidden="1" customHeight="1" x14ac:dyDescent="0.25">
      <c r="A34" s="243"/>
      <c r="B34" s="493" t="s">
        <v>1210</v>
      </c>
      <c r="C34" s="463"/>
      <c r="D34" s="463"/>
      <c r="E34" s="463"/>
      <c r="F34" s="463"/>
      <c r="G34" s="463"/>
    </row>
    <row r="35" spans="1:7" s="245" customFormat="1" ht="14.15" hidden="1" customHeight="1" x14ac:dyDescent="0.25">
      <c r="A35" s="243"/>
      <c r="B35" s="493" t="s">
        <v>1211</v>
      </c>
      <c r="C35" s="493"/>
      <c r="D35" s="493"/>
      <c r="E35" s="493"/>
      <c r="F35" s="493"/>
      <c r="G35" s="493"/>
    </row>
    <row r="36" spans="1:7" s="245" customFormat="1" ht="14.15" hidden="1" customHeight="1" x14ac:dyDescent="0.25">
      <c r="A36" s="243"/>
      <c r="B36" s="493" t="s">
        <v>1212</v>
      </c>
      <c r="C36" s="493"/>
      <c r="D36" s="493"/>
      <c r="E36" s="493"/>
      <c r="F36" s="493"/>
      <c r="G36" s="493"/>
    </row>
    <row r="37" spans="1:7" s="245" customFormat="1" ht="14.15" hidden="1" customHeight="1" x14ac:dyDescent="0.25">
      <c r="A37" s="243"/>
    </row>
    <row r="38" spans="1:7" s="245" customFormat="1" ht="14.15" hidden="1" customHeight="1" x14ac:dyDescent="0.25">
      <c r="A38" s="243"/>
      <c r="C38" s="300"/>
      <c r="D38" s="300"/>
      <c r="E38" s="300"/>
      <c r="F38" s="300"/>
      <c r="G38" s="300"/>
    </row>
    <row r="39" spans="1:7" s="245" customFormat="1" ht="14.15" hidden="1" customHeight="1" x14ac:dyDescent="0.25">
      <c r="A39" s="243">
        <f>ROUNDDOWN(A11,0)+1</f>
        <v>32</v>
      </c>
      <c r="B39" s="255" t="str">
        <f>"Note "&amp;A39&amp; " Gifts"</f>
        <v>Note 32 Gifts</v>
      </c>
      <c r="C39" s="255"/>
      <c r="D39" s="255"/>
      <c r="E39" s="255"/>
      <c r="F39" s="255"/>
      <c r="G39" s="255"/>
    </row>
    <row r="40" spans="1:7" s="245" customFormat="1" ht="14.15" hidden="1" customHeight="1" x14ac:dyDescent="0.25">
      <c r="A40" s="243"/>
      <c r="B40" s="493" t="s">
        <v>1213</v>
      </c>
      <c r="C40" s="463"/>
      <c r="D40" s="463"/>
      <c r="E40" s="463"/>
      <c r="F40" s="463"/>
      <c r="G40" s="463"/>
    </row>
    <row r="41" spans="1:7" s="245" customFormat="1" ht="14.15" hidden="1" customHeight="1" x14ac:dyDescent="0.25">
      <c r="A41" s="243"/>
      <c r="B41" s="255"/>
      <c r="C41" s="494" t="str">
        <f>CurrentFY</f>
        <v>2024/25</v>
      </c>
      <c r="D41" s="494"/>
      <c r="E41" s="240"/>
      <c r="F41" s="494" t="str">
        <f>ComparativeFY</f>
        <v>2023/24</v>
      </c>
      <c r="G41" s="494"/>
    </row>
    <row r="42" spans="1:7" s="245" customFormat="1" ht="42" hidden="1" customHeight="1" x14ac:dyDescent="0.25">
      <c r="A42" s="243"/>
      <c r="B42" s="255"/>
      <c r="C42" s="266" t="s">
        <v>1191</v>
      </c>
      <c r="D42" s="266" t="s">
        <v>1192</v>
      </c>
      <c r="E42" s="266"/>
      <c r="F42" s="266" t="s">
        <v>1191</v>
      </c>
      <c r="G42" s="266" t="s">
        <v>1192</v>
      </c>
    </row>
    <row r="43" spans="1:7" s="245" customFormat="1" ht="14.15" hidden="1" customHeight="1" x14ac:dyDescent="0.25">
      <c r="A43" s="243"/>
      <c r="B43" s="255"/>
      <c r="C43" s="266" t="s">
        <v>1057</v>
      </c>
      <c r="D43" s="266" t="s">
        <v>542</v>
      </c>
      <c r="E43" s="266"/>
      <c r="F43" s="266" t="s">
        <v>1057</v>
      </c>
      <c r="G43" s="266" t="s">
        <v>542</v>
      </c>
    </row>
    <row r="44" spans="1:7" s="245" customFormat="1" ht="14.15" hidden="1" customHeight="1" x14ac:dyDescent="0.25">
      <c r="A44" s="243"/>
      <c r="B44" s="245" t="s">
        <v>1214</v>
      </c>
      <c r="C44" s="218">
        <v>0</v>
      </c>
      <c r="D44" s="218">
        <v>0</v>
      </c>
      <c r="E44" s="218"/>
      <c r="F44" s="218">
        <v>0</v>
      </c>
      <c r="G44" s="218">
        <v>0</v>
      </c>
    </row>
    <row r="45" spans="1:7" s="245" customFormat="1" ht="14.15" hidden="1" customHeight="1" x14ac:dyDescent="0.25">
      <c r="A45" s="243"/>
      <c r="C45" s="300"/>
      <c r="D45" s="300"/>
      <c r="E45" s="300"/>
      <c r="F45" s="300"/>
      <c r="G45" s="300"/>
    </row>
    <row r="46" spans="1:7" s="245" customFormat="1" ht="14.15" hidden="1" customHeight="1" x14ac:dyDescent="0.25">
      <c r="A46" s="243"/>
      <c r="B46" s="348" t="s">
        <v>1208</v>
      </c>
      <c r="C46" s="349"/>
      <c r="D46" s="349"/>
      <c r="E46" s="349"/>
      <c r="F46" s="349"/>
      <c r="G46" s="349"/>
    </row>
    <row r="47" spans="1:7" s="245" customFormat="1" ht="27" hidden="1" customHeight="1" x14ac:dyDescent="0.25">
      <c r="A47" s="243"/>
      <c r="B47" s="463" t="s">
        <v>1215</v>
      </c>
      <c r="C47" s="463"/>
      <c r="D47" s="463"/>
      <c r="E47" s="463"/>
      <c r="F47" s="463"/>
      <c r="G47" s="463"/>
    </row>
    <row r="48" spans="1:7" s="245" customFormat="1" ht="14.15" hidden="1" customHeight="1" x14ac:dyDescent="0.25">
      <c r="A48" s="243"/>
      <c r="B48" s="255" t="str">
        <f>"Note "&amp; A48&amp; " Maturity of financial liabilities"</f>
        <v>Note  Maturity of financial liabilities</v>
      </c>
      <c r="C48" s="221"/>
      <c r="D48" s="221"/>
      <c r="E48" s="221"/>
      <c r="F48" s="300"/>
      <c r="G48" s="300"/>
    </row>
    <row r="49" spans="1:9" s="245" customFormat="1" ht="45.75" hidden="1" customHeight="1" x14ac:dyDescent="0.25">
      <c r="A49" s="243"/>
      <c r="B49" s="431" t="s">
        <v>1185</v>
      </c>
      <c r="C49" s="431"/>
      <c r="D49" s="431"/>
      <c r="E49" s="431"/>
      <c r="F49" s="431"/>
      <c r="G49" s="431"/>
    </row>
    <row r="50" spans="1:9" s="245" customFormat="1" ht="29.25" hidden="1" customHeight="1" x14ac:dyDescent="0.25">
      <c r="A50" s="243"/>
      <c r="B50" s="255"/>
      <c r="D50" s="266"/>
      <c r="F50" s="266" t="str">
        <f xml:space="preserve"> TEXT(CurrentYearEnd, "d mmmm yyyy")</f>
        <v>31 March 2025</v>
      </c>
      <c r="G50" s="266" t="str">
        <f>TEXT(ComparativeYearEnd, "d mmmm yyyy")</f>
        <v>31 March 2024</v>
      </c>
    </row>
    <row r="51" spans="1:9" s="245" customFormat="1" ht="14.15" hidden="1" customHeight="1" x14ac:dyDescent="0.25">
      <c r="A51" s="243"/>
      <c r="B51" s="255"/>
      <c r="D51" s="266"/>
      <c r="F51" s="266" t="s">
        <v>542</v>
      </c>
      <c r="G51" s="266" t="s">
        <v>542</v>
      </c>
    </row>
    <row r="52" spans="1:9" s="245" customFormat="1" ht="14.15" hidden="1" customHeight="1" x14ac:dyDescent="0.25">
      <c r="A52" s="243"/>
      <c r="B52" s="216" t="s">
        <v>1186</v>
      </c>
      <c r="D52" s="218"/>
      <c r="F52" s="218">
        <v>48659</v>
      </c>
      <c r="G52" s="218">
        <v>50686.508999999998</v>
      </c>
    </row>
    <row r="53" spans="1:9" s="245" customFormat="1" ht="14.15" hidden="1" customHeight="1" x14ac:dyDescent="0.25">
      <c r="A53" s="243"/>
      <c r="B53" s="216" t="s">
        <v>1187</v>
      </c>
      <c r="D53" s="218"/>
      <c r="F53" s="218">
        <v>7849</v>
      </c>
      <c r="G53" s="218">
        <v>5975.8540000000003</v>
      </c>
    </row>
    <row r="54" spans="1:9" s="245" customFormat="1" ht="14.15" hidden="1" customHeight="1" x14ac:dyDescent="0.25">
      <c r="A54" s="243"/>
      <c r="B54" s="216" t="s">
        <v>1188</v>
      </c>
      <c r="D54" s="218"/>
      <c r="F54" s="218">
        <v>10904</v>
      </c>
      <c r="G54" s="218">
        <v>11299.728999999999</v>
      </c>
    </row>
    <row r="55" spans="1:9" s="245" customFormat="1" ht="14.15" hidden="1" customHeight="1" thickBot="1" x14ac:dyDescent="0.4">
      <c r="A55" s="243"/>
      <c r="B55" s="221" t="s">
        <v>541</v>
      </c>
      <c r="D55" s="237"/>
      <c r="F55" s="290">
        <f>SUM(F52:F54)</f>
        <v>67412</v>
      </c>
      <c r="G55" s="290">
        <f>SUM(G52:G54)</f>
        <v>67962.092000000004</v>
      </c>
    </row>
    <row r="56" spans="1:9" ht="14.15" customHeight="1" x14ac:dyDescent="0.35">
      <c r="A56" s="32">
        <f>ROUNDDOWN('31-32 L&amp;SP, gifts'!A11,0)+1</f>
        <v>32</v>
      </c>
      <c r="B56" s="14" t="str">
        <f>"Note " &amp;A56 &amp; " Related parties"</f>
        <v>Note 32 Related parties</v>
      </c>
      <c r="C56"/>
      <c r="D56"/>
      <c r="E56"/>
      <c r="F56"/>
      <c r="G56"/>
      <c r="H56"/>
      <c r="I56"/>
    </row>
    <row r="57" spans="1:9" ht="6" customHeight="1" x14ac:dyDescent="0.25">
      <c r="A57" s="1"/>
      <c r="B57" s="325"/>
      <c r="C57" s="325"/>
      <c r="D57" s="325"/>
      <c r="E57" s="325"/>
      <c r="F57" s="325"/>
      <c r="G57" s="325"/>
      <c r="H57" s="325"/>
      <c r="I57" s="325"/>
    </row>
    <row r="58" spans="1:9" ht="37.5" customHeight="1" x14ac:dyDescent="0.25">
      <c r="A58" s="1"/>
      <c r="B58" s="485" t="s">
        <v>1689</v>
      </c>
      <c r="C58" s="485"/>
      <c r="D58" s="485"/>
      <c r="E58" s="485"/>
      <c r="F58" s="485"/>
      <c r="G58" s="485"/>
      <c r="H58" s="123"/>
      <c r="I58" s="123"/>
    </row>
    <row r="59" spans="1:9" ht="14.15" hidden="1" customHeight="1" x14ac:dyDescent="0.35">
      <c r="A59" s="1"/>
      <c r="B59" s="123"/>
      <c r="C59"/>
      <c r="D59"/>
      <c r="E59"/>
      <c r="F59"/>
      <c r="G59"/>
      <c r="H59" s="325"/>
      <c r="I59" s="325"/>
    </row>
    <row r="60" spans="1:9" ht="42.75" customHeight="1" x14ac:dyDescent="0.25">
      <c r="A60" s="1"/>
      <c r="B60" s="485" t="s">
        <v>1721</v>
      </c>
      <c r="C60" s="485"/>
      <c r="D60" s="485"/>
      <c r="E60" s="485"/>
      <c r="F60" s="485"/>
      <c r="G60" s="485"/>
      <c r="H60" s="123"/>
      <c r="I60" s="123"/>
    </row>
    <row r="61" spans="1:9" ht="14.15" customHeight="1" x14ac:dyDescent="0.25">
      <c r="A61" s="1"/>
      <c r="B61" s="326"/>
      <c r="C61" s="326"/>
      <c r="D61" s="326"/>
      <c r="E61" s="326"/>
      <c r="F61" s="326"/>
      <c r="G61" s="326"/>
      <c r="H61" s="326"/>
      <c r="I61" s="326"/>
    </row>
    <row r="62" spans="1:9" ht="37.5" customHeight="1" x14ac:dyDescent="0.25">
      <c r="A62" s="1"/>
      <c r="B62" s="325"/>
      <c r="C62" s="352" t="s">
        <v>1691</v>
      </c>
      <c r="D62" s="352" t="s">
        <v>1692</v>
      </c>
      <c r="F62" s="352" t="s">
        <v>1693</v>
      </c>
      <c r="G62" s="352" t="s">
        <v>1694</v>
      </c>
      <c r="H62" s="325"/>
    </row>
    <row r="63" spans="1:9" ht="14.15" customHeight="1" x14ac:dyDescent="0.25">
      <c r="A63" s="1"/>
      <c r="B63" s="135" t="s">
        <v>1695</v>
      </c>
      <c r="C63" s="41">
        <v>28</v>
      </c>
      <c r="D63" s="41">
        <v>514394</v>
      </c>
      <c r="E63" s="41"/>
      <c r="F63" s="41">
        <v>0</v>
      </c>
      <c r="G63" s="41">
        <v>0</v>
      </c>
      <c r="H63" s="325"/>
      <c r="I63" s="325"/>
    </row>
    <row r="64" spans="1:9" ht="14.15" customHeight="1" x14ac:dyDescent="0.25">
      <c r="A64" s="1"/>
      <c r="B64" s="135" t="s">
        <v>1696</v>
      </c>
      <c r="C64" s="41">
        <v>1692</v>
      </c>
      <c r="D64" s="41">
        <v>946</v>
      </c>
      <c r="E64" s="41"/>
      <c r="F64" s="41">
        <v>86</v>
      </c>
      <c r="G64" s="41">
        <v>148</v>
      </c>
      <c r="H64" s="325"/>
      <c r="I64" s="325"/>
    </row>
    <row r="65" spans="1:9" ht="14.15" hidden="1" customHeight="1" x14ac:dyDescent="0.25">
      <c r="A65" s="1"/>
      <c r="B65" s="246" t="s">
        <v>1697</v>
      </c>
      <c r="C65" s="41">
        <v>143</v>
      </c>
      <c r="D65" s="41">
        <v>120</v>
      </c>
      <c r="E65" s="41"/>
      <c r="F65" s="41">
        <v>13</v>
      </c>
      <c r="G65" s="41">
        <v>3</v>
      </c>
      <c r="H65" s="325"/>
      <c r="I65" s="325"/>
    </row>
    <row r="66" spans="1:9" ht="14.15" customHeight="1" x14ac:dyDescent="0.25">
      <c r="A66" s="1"/>
      <c r="B66" s="135" t="s">
        <v>1698</v>
      </c>
      <c r="C66" s="41">
        <v>4194</v>
      </c>
      <c r="D66" s="41"/>
      <c r="E66" s="41"/>
      <c r="F66" s="41"/>
      <c r="G66" s="41"/>
      <c r="H66" s="325"/>
      <c r="I66" s="325"/>
    </row>
    <row r="67" spans="1:9" s="245" customFormat="1" ht="14.15" hidden="1" customHeight="1" x14ac:dyDescent="0.25">
      <c r="B67" s="246" t="s">
        <v>1699</v>
      </c>
      <c r="C67" s="41"/>
      <c r="D67" s="41"/>
      <c r="E67" s="41"/>
      <c r="F67" s="41"/>
      <c r="G67" s="41"/>
      <c r="H67" s="317"/>
      <c r="I67" s="317"/>
    </row>
    <row r="68" spans="1:9" s="245" customFormat="1" ht="14.15" hidden="1" customHeight="1" x14ac:dyDescent="0.25">
      <c r="B68" s="246" t="s">
        <v>1700</v>
      </c>
      <c r="C68" s="41"/>
      <c r="D68" s="41"/>
      <c r="E68" s="41"/>
      <c r="F68" s="41"/>
      <c r="G68" s="41"/>
      <c r="H68" s="317"/>
      <c r="I68" s="317"/>
    </row>
    <row r="69" spans="1:9" s="245" customFormat="1" ht="14.15" hidden="1" customHeight="1" x14ac:dyDescent="0.25">
      <c r="B69" s="246" t="s">
        <v>763</v>
      </c>
      <c r="C69" s="41"/>
      <c r="D69" s="41"/>
      <c r="E69" s="41"/>
      <c r="F69" s="41"/>
      <c r="G69" s="41"/>
      <c r="H69" s="317"/>
      <c r="I69" s="317"/>
    </row>
    <row r="70" spans="1:9" ht="14.15" customHeight="1" x14ac:dyDescent="0.25">
      <c r="A70" s="1"/>
      <c r="B70" s="135" t="s">
        <v>762</v>
      </c>
      <c r="C70" s="41">
        <v>16</v>
      </c>
      <c r="D70" s="41">
        <v>3130</v>
      </c>
      <c r="E70" s="41"/>
      <c r="F70" s="41">
        <v>0</v>
      </c>
      <c r="G70" s="41">
        <v>19</v>
      </c>
      <c r="H70" s="325"/>
      <c r="I70" s="325"/>
    </row>
  </sheetData>
  <customSheetViews>
    <customSheetView guid="{EDC1BD6E-863A-4FC6-A3A9-F32079F4F0C1}">
      <selection activeCell="G38" sqref="G38"/>
      <pageMargins left="0" right="0" top="0" bottom="0" header="0" footer="0"/>
      <pageSetup paperSize="9" orientation="portrait" verticalDpi="0" r:id="rId1"/>
    </customSheetView>
  </customSheetViews>
  <mergeCells count="14">
    <mergeCell ref="B58:G58"/>
    <mergeCell ref="B60:G60"/>
    <mergeCell ref="B2:G2"/>
    <mergeCell ref="B49:G49"/>
    <mergeCell ref="C12:D12"/>
    <mergeCell ref="F12:G12"/>
    <mergeCell ref="B33:G33"/>
    <mergeCell ref="B34:G34"/>
    <mergeCell ref="B35:G35"/>
    <mergeCell ref="B40:G40"/>
    <mergeCell ref="B36:G36"/>
    <mergeCell ref="C41:D41"/>
    <mergeCell ref="F41:G41"/>
    <mergeCell ref="B47:G47"/>
  </mergeCells>
  <pageMargins left="0.59055118110236227" right="0.59055118110236227" top="0.59055118110236227" bottom="0.59055118110236227" header="0" footer="0"/>
  <pageSetup paperSize="9" orientation="portrait" r:id="rId2"/>
  <headerFooter>
    <oddFoote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4">
    <tabColor rgb="FF00B0F0"/>
  </sheetPr>
  <dimension ref="A1:M295"/>
  <sheetViews>
    <sheetView workbookViewId="0"/>
  </sheetViews>
  <sheetFormatPr defaultRowHeight="14.5" x14ac:dyDescent="0.35"/>
  <cols>
    <col min="1" max="1" width="1.81640625" style="32" customWidth="1"/>
    <col min="2" max="2" width="32.1796875" customWidth="1"/>
    <col min="3" max="3" width="11.453125" customWidth="1"/>
    <col min="4" max="4" width="0.81640625" customWidth="1"/>
    <col min="5" max="5" width="11.453125" customWidth="1"/>
    <col min="6" max="6" width="1.1796875" customWidth="1"/>
    <col min="7" max="7" width="11.81640625" bestFit="1" customWidth="1"/>
    <col min="8" max="8" width="0.54296875" customWidth="1"/>
    <col min="9" max="9" width="11.81640625" customWidth="1"/>
  </cols>
  <sheetData>
    <row r="1" spans="1:12" x14ac:dyDescent="0.35">
      <c r="A1" s="32">
        <f>ROUNDDOWN('31-32 L&amp;SP, gifts'!A11,0)+1</f>
        <v>32</v>
      </c>
      <c r="B1" s="14" t="str">
        <f>"Note " &amp;A1 &amp; " Related parties - Continued"</f>
        <v>Note 32 Related parties - Continued</v>
      </c>
      <c r="K1" s="1"/>
      <c r="L1" s="1"/>
    </row>
    <row r="2" spans="1:12" s="245" customFormat="1" ht="12.25" hidden="1" customHeight="1" x14ac:dyDescent="0.25">
      <c r="B2" s="440" t="s">
        <v>1481</v>
      </c>
      <c r="C2" s="440"/>
      <c r="D2" s="440"/>
      <c r="E2" s="440"/>
      <c r="F2" s="440"/>
      <c r="G2" s="440"/>
      <c r="H2" s="440"/>
      <c r="I2" s="440"/>
    </row>
    <row r="3" spans="1:12" s="245" customFormat="1" ht="12.25" hidden="1" customHeight="1" x14ac:dyDescent="0.25">
      <c r="B3" s="440"/>
      <c r="C3" s="440"/>
      <c r="D3" s="440"/>
      <c r="E3" s="440"/>
      <c r="F3" s="440"/>
      <c r="G3" s="440"/>
      <c r="H3" s="440"/>
      <c r="I3" s="440"/>
    </row>
    <row r="4" spans="1:12" s="245" customFormat="1" ht="13.75" hidden="1" customHeight="1" x14ac:dyDescent="0.25">
      <c r="B4" s="440"/>
      <c r="C4" s="440"/>
      <c r="D4" s="440"/>
      <c r="E4" s="440"/>
      <c r="F4" s="440"/>
      <c r="G4" s="440"/>
      <c r="H4" s="440"/>
      <c r="I4" s="440"/>
    </row>
    <row r="5" spans="1:12" s="245" customFormat="1" ht="13.75" hidden="1" customHeight="1" x14ac:dyDescent="0.25">
      <c r="B5" s="440"/>
      <c r="C5" s="440"/>
      <c r="D5" s="440"/>
      <c r="E5" s="440"/>
      <c r="F5" s="440"/>
      <c r="G5" s="440"/>
      <c r="H5" s="440"/>
      <c r="I5" s="440"/>
    </row>
    <row r="6" spans="1:12" s="245" customFormat="1" ht="13.75" hidden="1" customHeight="1" x14ac:dyDescent="0.25">
      <c r="B6" s="440"/>
      <c r="C6" s="440"/>
      <c r="D6" s="440"/>
      <c r="E6" s="440"/>
      <c r="F6" s="440"/>
      <c r="G6" s="440"/>
      <c r="H6" s="440"/>
      <c r="I6" s="440"/>
    </row>
    <row r="7" spans="1:12" s="245" customFormat="1" ht="13.75" hidden="1" customHeight="1" x14ac:dyDescent="0.25">
      <c r="B7" s="440"/>
      <c r="C7" s="440"/>
      <c r="D7" s="440"/>
      <c r="E7" s="440"/>
      <c r="F7" s="440"/>
      <c r="G7" s="440"/>
      <c r="H7" s="440"/>
      <c r="I7" s="440"/>
    </row>
    <row r="8" spans="1:12" s="245" customFormat="1" ht="13.75" hidden="1" customHeight="1" x14ac:dyDescent="0.25">
      <c r="B8" s="440"/>
      <c r="C8" s="440"/>
      <c r="D8" s="440"/>
      <c r="E8" s="440"/>
      <c r="F8" s="440"/>
      <c r="G8" s="440"/>
      <c r="H8" s="440"/>
      <c r="I8" s="440"/>
    </row>
    <row r="9" spans="1:12" s="245" customFormat="1" ht="13.75" hidden="1" customHeight="1" x14ac:dyDescent="0.25">
      <c r="B9" s="440"/>
      <c r="C9" s="440"/>
      <c r="D9" s="440"/>
      <c r="E9" s="440"/>
      <c r="F9" s="440"/>
      <c r="G9" s="440"/>
      <c r="H9" s="440"/>
      <c r="I9" s="440"/>
    </row>
    <row r="10" spans="1:12" s="245" customFormat="1" ht="13.75" hidden="1" customHeight="1" x14ac:dyDescent="0.25">
      <c r="B10" s="440"/>
      <c r="C10" s="440"/>
      <c r="D10" s="440"/>
      <c r="E10" s="440"/>
      <c r="F10" s="440"/>
      <c r="G10" s="440"/>
      <c r="H10" s="440"/>
      <c r="I10" s="440"/>
    </row>
    <row r="11" spans="1:12" s="245" customFormat="1" ht="13.75" hidden="1" customHeight="1" x14ac:dyDescent="0.25">
      <c r="B11" s="440"/>
      <c r="C11" s="440"/>
      <c r="D11" s="440"/>
      <c r="E11" s="440"/>
      <c r="F11" s="440"/>
      <c r="G11" s="440"/>
      <c r="H11" s="440"/>
      <c r="I11" s="440"/>
    </row>
    <row r="12" spans="1:12" s="245" customFormat="1" ht="13.75" hidden="1" customHeight="1" x14ac:dyDescent="0.25">
      <c r="B12" s="440"/>
      <c r="C12" s="440"/>
      <c r="D12" s="440"/>
      <c r="E12" s="440"/>
      <c r="F12" s="440"/>
      <c r="G12" s="440"/>
      <c r="H12" s="440"/>
      <c r="I12" s="440"/>
    </row>
    <row r="13" spans="1:12" s="245" customFormat="1" ht="13.75" hidden="1" customHeight="1" x14ac:dyDescent="0.25">
      <c r="B13" s="440"/>
      <c r="C13" s="440"/>
      <c r="D13" s="440"/>
      <c r="E13" s="440"/>
      <c r="F13" s="440"/>
      <c r="G13" s="440"/>
      <c r="H13" s="440"/>
      <c r="I13" s="440"/>
    </row>
    <row r="14" spans="1:12" s="245" customFormat="1" ht="13.75" hidden="1" customHeight="1" x14ac:dyDescent="0.25">
      <c r="B14" s="440"/>
      <c r="C14" s="440"/>
      <c r="D14" s="440"/>
      <c r="E14" s="440"/>
      <c r="F14" s="440"/>
      <c r="G14" s="440"/>
      <c r="H14" s="440"/>
      <c r="I14" s="440"/>
    </row>
    <row r="15" spans="1:12" s="245" customFormat="1" ht="13.75" hidden="1" customHeight="1" x14ac:dyDescent="0.25">
      <c r="B15" s="440"/>
      <c r="C15" s="440"/>
      <c r="D15" s="440"/>
      <c r="E15" s="440"/>
      <c r="F15" s="440"/>
      <c r="G15" s="440"/>
      <c r="H15" s="440"/>
      <c r="I15" s="440"/>
    </row>
    <row r="16" spans="1:12" s="245" customFormat="1" ht="13.75" hidden="1" customHeight="1" x14ac:dyDescent="0.25">
      <c r="B16" s="440"/>
      <c r="C16" s="440"/>
      <c r="D16" s="440"/>
      <c r="E16" s="440"/>
      <c r="F16" s="440"/>
      <c r="G16" s="440"/>
      <c r="H16" s="440"/>
      <c r="I16" s="440"/>
    </row>
    <row r="17" spans="2:10" s="245" customFormat="1" ht="13.75" hidden="1" customHeight="1" x14ac:dyDescent="0.25">
      <c r="B17" s="317"/>
      <c r="C17" s="317"/>
      <c r="D17" s="317"/>
      <c r="E17" s="317"/>
      <c r="F17" s="317"/>
      <c r="G17" s="317"/>
      <c r="H17" s="317"/>
      <c r="I17" s="317"/>
    </row>
    <row r="18" spans="2:10" s="245" customFormat="1" ht="13.75" hidden="1" customHeight="1" x14ac:dyDescent="0.25">
      <c r="B18" s="440" t="s">
        <v>1489</v>
      </c>
      <c r="C18" s="440"/>
      <c r="D18" s="440"/>
      <c r="E18" s="440"/>
      <c r="F18" s="440"/>
      <c r="G18" s="440"/>
      <c r="H18" s="440"/>
      <c r="I18" s="440"/>
    </row>
    <row r="19" spans="2:10" s="245" customFormat="1" ht="13.75" hidden="1" customHeight="1" x14ac:dyDescent="0.25">
      <c r="B19" s="440"/>
      <c r="C19" s="440"/>
      <c r="D19" s="440"/>
      <c r="E19" s="440"/>
      <c r="F19" s="440"/>
      <c r="G19" s="440"/>
      <c r="H19" s="440"/>
      <c r="I19" s="440"/>
    </row>
    <row r="20" spans="2:10" s="245" customFormat="1" ht="13.75" hidden="1" customHeight="1" x14ac:dyDescent="0.25">
      <c r="B20" s="440"/>
      <c r="C20" s="440"/>
      <c r="D20" s="440"/>
      <c r="E20" s="440"/>
      <c r="F20" s="440"/>
      <c r="G20" s="440"/>
      <c r="H20" s="440"/>
      <c r="I20" s="440"/>
    </row>
    <row r="21" spans="2:10" s="245" customFormat="1" ht="13.75" hidden="1" customHeight="1" x14ac:dyDescent="0.25">
      <c r="B21" s="440"/>
      <c r="C21" s="440"/>
      <c r="D21" s="440"/>
      <c r="E21" s="440"/>
      <c r="F21" s="440"/>
      <c r="G21" s="440"/>
      <c r="H21" s="440"/>
      <c r="I21" s="440"/>
    </row>
    <row r="22" spans="2:10" s="245" customFormat="1" ht="13.75" hidden="1" customHeight="1" x14ac:dyDescent="0.25">
      <c r="B22" s="440"/>
      <c r="C22" s="440"/>
      <c r="D22" s="440"/>
      <c r="E22" s="440"/>
      <c r="F22" s="440"/>
      <c r="G22" s="440"/>
      <c r="H22" s="440"/>
      <c r="I22" s="440"/>
    </row>
    <row r="23" spans="2:10" s="245" customFormat="1" ht="13.75" hidden="1" customHeight="1" x14ac:dyDescent="0.25">
      <c r="B23" s="440"/>
      <c r="C23" s="440"/>
      <c r="D23" s="440"/>
      <c r="E23" s="440"/>
      <c r="F23" s="440"/>
      <c r="G23" s="440"/>
      <c r="H23" s="440"/>
      <c r="I23" s="440"/>
    </row>
    <row r="24" spans="2:10" s="245" customFormat="1" ht="13.75" hidden="1" customHeight="1" x14ac:dyDescent="0.25">
      <c r="B24" s="440"/>
      <c r="C24" s="440"/>
      <c r="D24" s="440"/>
      <c r="E24" s="440"/>
      <c r="F24" s="440"/>
      <c r="G24" s="440"/>
      <c r="H24" s="440"/>
      <c r="I24" s="440"/>
    </row>
    <row r="25" spans="2:10" s="245" customFormat="1" ht="13.75" hidden="1" customHeight="1" x14ac:dyDescent="0.25">
      <c r="B25" s="440"/>
      <c r="C25" s="440"/>
      <c r="D25" s="440"/>
      <c r="E25" s="440"/>
      <c r="F25" s="440"/>
      <c r="G25" s="440"/>
      <c r="H25" s="440"/>
      <c r="I25" s="440"/>
    </row>
    <row r="26" spans="2:10" s="245" customFormat="1" ht="13.75" hidden="1" customHeight="1" x14ac:dyDescent="0.25">
      <c r="B26" s="440"/>
      <c r="C26" s="440"/>
      <c r="D26" s="440"/>
      <c r="E26" s="440"/>
      <c r="F26" s="440"/>
      <c r="G26" s="440"/>
      <c r="H26" s="440"/>
      <c r="I26" s="440"/>
      <c r="J26" s="350"/>
    </row>
    <row r="27" spans="2:10" s="1" customFormat="1" ht="8.25" customHeight="1" x14ac:dyDescent="0.25">
      <c r="B27" s="325"/>
      <c r="C27" s="325"/>
      <c r="D27" s="325"/>
      <c r="E27" s="325"/>
      <c r="F27" s="325"/>
      <c r="G27" s="325"/>
      <c r="H27" s="325"/>
      <c r="I27" s="325"/>
      <c r="J27" s="351"/>
    </row>
    <row r="28" spans="2:10" s="1" customFormat="1" ht="41.25" hidden="1" customHeight="1" x14ac:dyDescent="0.25">
      <c r="B28" s="485" t="s">
        <v>1689</v>
      </c>
      <c r="C28" s="485"/>
      <c r="D28" s="485"/>
      <c r="E28" s="485"/>
      <c r="F28" s="485"/>
      <c r="G28" s="485"/>
      <c r="H28" s="485"/>
      <c r="I28" s="485"/>
      <c r="J28" s="351"/>
    </row>
    <row r="29" spans="2:10" s="1" customFormat="1" ht="7.5" hidden="1" customHeight="1" x14ac:dyDescent="0.35">
      <c r="B29" s="123"/>
      <c r="C29"/>
      <c r="D29"/>
      <c r="E29"/>
      <c r="F29"/>
      <c r="G29"/>
      <c r="H29" s="325"/>
      <c r="I29" s="325"/>
      <c r="J29" s="351"/>
    </row>
    <row r="30" spans="2:10" s="1" customFormat="1" ht="41.25" hidden="1" customHeight="1" x14ac:dyDescent="0.25">
      <c r="B30" s="485" t="s">
        <v>1690</v>
      </c>
      <c r="C30" s="485"/>
      <c r="D30" s="485"/>
      <c r="E30" s="485"/>
      <c r="F30" s="485"/>
      <c r="G30" s="485"/>
      <c r="H30" s="485"/>
      <c r="I30" s="485"/>
      <c r="J30" s="351"/>
    </row>
    <row r="31" spans="2:10" s="1" customFormat="1" ht="9.75" hidden="1" customHeight="1" x14ac:dyDescent="0.25">
      <c r="B31" s="326"/>
      <c r="C31" s="326"/>
      <c r="D31" s="326"/>
      <c r="E31" s="326"/>
      <c r="F31" s="326"/>
      <c r="G31" s="326"/>
      <c r="H31" s="326"/>
      <c r="I31" s="326"/>
      <c r="J31" s="351"/>
    </row>
    <row r="32" spans="2:10" s="1" customFormat="1" ht="39" hidden="1" customHeight="1" x14ac:dyDescent="0.25">
      <c r="B32" s="325"/>
      <c r="C32" s="352" t="s">
        <v>1691</v>
      </c>
      <c r="D32" s="325"/>
      <c r="E32" s="352" t="s">
        <v>1692</v>
      </c>
      <c r="F32" s="325"/>
      <c r="G32" s="352" t="s">
        <v>1693</v>
      </c>
      <c r="H32" s="325"/>
      <c r="I32" s="352" t="s">
        <v>1694</v>
      </c>
      <c r="J32" s="351"/>
    </row>
    <row r="33" spans="2:10" s="1" customFormat="1" ht="13.75" hidden="1" customHeight="1" x14ac:dyDescent="0.25">
      <c r="B33" s="135" t="s">
        <v>1695</v>
      </c>
      <c r="C33" s="325"/>
      <c r="D33" s="325"/>
      <c r="E33" s="325"/>
      <c r="F33" s="325"/>
      <c r="G33" s="325"/>
      <c r="H33" s="325"/>
      <c r="I33" s="325"/>
      <c r="J33" s="351"/>
    </row>
    <row r="34" spans="2:10" s="1" customFormat="1" ht="13.75" hidden="1" customHeight="1" x14ac:dyDescent="0.25">
      <c r="B34" s="135" t="s">
        <v>1696</v>
      </c>
      <c r="C34" s="325"/>
      <c r="D34" s="325"/>
      <c r="E34" s="325"/>
      <c r="F34" s="325"/>
      <c r="G34" s="325"/>
      <c r="H34" s="325"/>
      <c r="I34" s="325"/>
      <c r="J34" s="351"/>
    </row>
    <row r="35" spans="2:10" s="1" customFormat="1" ht="13.75" hidden="1" customHeight="1" x14ac:dyDescent="0.25">
      <c r="B35" s="246" t="s">
        <v>1697</v>
      </c>
      <c r="C35" s="325"/>
      <c r="D35" s="325"/>
      <c r="E35" s="325"/>
      <c r="F35" s="325"/>
      <c r="G35" s="325"/>
      <c r="H35" s="325"/>
      <c r="I35" s="325"/>
      <c r="J35" s="351"/>
    </row>
    <row r="36" spans="2:10" s="1" customFormat="1" ht="13.75" hidden="1" customHeight="1" x14ac:dyDescent="0.25">
      <c r="B36" s="135" t="s">
        <v>1698</v>
      </c>
      <c r="C36" s="325"/>
      <c r="D36" s="325"/>
      <c r="E36" s="325"/>
      <c r="F36" s="325"/>
      <c r="G36" s="325"/>
      <c r="H36" s="325"/>
      <c r="I36" s="325"/>
      <c r="J36" s="351"/>
    </row>
    <row r="37" spans="2:10" s="1" customFormat="1" ht="13.75" hidden="1" customHeight="1" x14ac:dyDescent="0.25">
      <c r="B37" s="246" t="s">
        <v>1699</v>
      </c>
      <c r="C37" s="325"/>
      <c r="D37" s="325"/>
      <c r="E37" s="325"/>
      <c r="F37" s="325"/>
      <c r="G37" s="325"/>
      <c r="H37" s="325"/>
      <c r="I37" s="325"/>
      <c r="J37" s="351"/>
    </row>
    <row r="38" spans="2:10" s="1" customFormat="1" ht="13.75" hidden="1" customHeight="1" x14ac:dyDescent="0.25">
      <c r="B38" s="246" t="s">
        <v>1700</v>
      </c>
      <c r="C38" s="325"/>
      <c r="D38" s="325"/>
      <c r="E38" s="325"/>
      <c r="F38" s="325"/>
      <c r="G38" s="325"/>
      <c r="H38" s="325"/>
      <c r="I38" s="325"/>
      <c r="J38" s="351"/>
    </row>
    <row r="39" spans="2:10" s="1" customFormat="1" ht="13.75" hidden="1" customHeight="1" x14ac:dyDescent="0.25">
      <c r="B39" s="246" t="s">
        <v>763</v>
      </c>
      <c r="C39" s="325"/>
      <c r="D39" s="325"/>
      <c r="E39" s="325"/>
      <c r="F39" s="325"/>
      <c r="G39" s="325"/>
      <c r="H39" s="325"/>
      <c r="I39" s="325"/>
      <c r="J39" s="351"/>
    </row>
    <row r="40" spans="2:10" s="1" customFormat="1" ht="13.75" hidden="1" customHeight="1" x14ac:dyDescent="0.25">
      <c r="B40" s="135" t="s">
        <v>762</v>
      </c>
      <c r="C40" s="325"/>
      <c r="D40" s="325"/>
      <c r="E40" s="325"/>
      <c r="F40" s="325"/>
      <c r="G40" s="325"/>
      <c r="H40" s="325"/>
      <c r="I40" s="325"/>
      <c r="J40" s="351"/>
    </row>
    <row r="41" spans="2:10" s="1" customFormat="1" ht="13.75" hidden="1" customHeight="1" x14ac:dyDescent="0.25">
      <c r="B41" s="325"/>
      <c r="C41" s="325"/>
      <c r="D41" s="325"/>
      <c r="E41" s="325"/>
      <c r="F41" s="325"/>
      <c r="G41" s="325"/>
      <c r="H41" s="325"/>
      <c r="I41" s="325"/>
      <c r="J41" s="351"/>
    </row>
    <row r="42" spans="2:10" s="1" customFormat="1" ht="36.75" customHeight="1" x14ac:dyDescent="0.25">
      <c r="B42" s="353" t="s">
        <v>1701</v>
      </c>
      <c r="C42" s="352" t="s">
        <v>1691</v>
      </c>
      <c r="D42" s="325"/>
      <c r="E42" s="352" t="s">
        <v>1692</v>
      </c>
      <c r="F42" s="325"/>
      <c r="G42" s="352" t="s">
        <v>1693</v>
      </c>
      <c r="H42" s="325"/>
      <c r="I42" s="352" t="s">
        <v>1694</v>
      </c>
      <c r="J42" s="351"/>
    </row>
    <row r="43" spans="2:10" s="1" customFormat="1" ht="13.75" customHeight="1" x14ac:dyDescent="0.25">
      <c r="B43" s="135" t="s">
        <v>1695</v>
      </c>
      <c r="C43" s="354">
        <v>58</v>
      </c>
      <c r="D43" s="325"/>
      <c r="E43" s="354">
        <v>482085</v>
      </c>
      <c r="F43" s="325"/>
      <c r="G43" s="354">
        <v>0</v>
      </c>
      <c r="H43" s="325"/>
      <c r="I43" s="354">
        <v>267</v>
      </c>
      <c r="J43" s="351"/>
    </row>
    <row r="44" spans="2:10" s="1" customFormat="1" ht="13.75" customHeight="1" x14ac:dyDescent="0.25">
      <c r="B44" s="135" t="s">
        <v>1696</v>
      </c>
      <c r="C44" s="354">
        <v>2981</v>
      </c>
      <c r="D44" s="325"/>
      <c r="E44" s="354">
        <v>1015</v>
      </c>
      <c r="F44" s="325"/>
      <c r="G44" s="354">
        <v>157</v>
      </c>
      <c r="H44" s="325"/>
      <c r="I44" s="354">
        <v>379</v>
      </c>
      <c r="J44" s="351"/>
    </row>
    <row r="45" spans="2:10" s="1" customFormat="1" ht="13.75" hidden="1" customHeight="1" x14ac:dyDescent="0.25">
      <c r="B45" s="246" t="s">
        <v>1697</v>
      </c>
      <c r="C45" s="354">
        <v>165</v>
      </c>
      <c r="D45" s="325"/>
      <c r="E45" s="354">
        <v>88</v>
      </c>
      <c r="F45" s="325"/>
      <c r="G45" s="354">
        <v>50</v>
      </c>
      <c r="H45" s="325"/>
      <c r="I45" s="354">
        <v>22</v>
      </c>
      <c r="J45" s="351"/>
    </row>
    <row r="46" spans="2:10" s="1" customFormat="1" ht="13.75" customHeight="1" x14ac:dyDescent="0.25">
      <c r="B46" s="135" t="s">
        <v>1698</v>
      </c>
      <c r="C46" s="354">
        <v>3493</v>
      </c>
      <c r="D46" s="325"/>
      <c r="E46" s="354"/>
      <c r="F46" s="325"/>
      <c r="G46" s="354">
        <v>5</v>
      </c>
      <c r="H46" s="325"/>
      <c r="I46" s="354"/>
      <c r="J46" s="351"/>
    </row>
    <row r="47" spans="2:10" s="1" customFormat="1" ht="13.75" hidden="1" customHeight="1" x14ac:dyDescent="0.25">
      <c r="B47" s="246" t="s">
        <v>1699</v>
      </c>
      <c r="C47" s="354">
        <v>351</v>
      </c>
      <c r="D47" s="325"/>
      <c r="E47" s="354"/>
      <c r="F47" s="325"/>
      <c r="G47" s="354"/>
      <c r="H47" s="325"/>
      <c r="I47" s="354"/>
      <c r="J47" s="351"/>
    </row>
    <row r="48" spans="2:10" s="1" customFormat="1" ht="13.75" hidden="1" customHeight="1" x14ac:dyDescent="0.25">
      <c r="B48" s="246" t="s">
        <v>1700</v>
      </c>
      <c r="C48" s="354">
        <v>889</v>
      </c>
      <c r="D48" s="325"/>
      <c r="E48" s="354"/>
      <c r="F48" s="325"/>
      <c r="G48" s="354">
        <v>154</v>
      </c>
      <c r="H48" s="325"/>
      <c r="I48" s="354"/>
      <c r="J48" s="351"/>
    </row>
    <row r="49" spans="1:10" s="1" customFormat="1" ht="13.75" hidden="1" customHeight="1" x14ac:dyDescent="0.25">
      <c r="B49" s="246" t="s">
        <v>763</v>
      </c>
      <c r="C49" s="354"/>
      <c r="D49" s="325"/>
      <c r="E49" s="354">
        <v>90</v>
      </c>
      <c r="F49" s="325"/>
      <c r="G49" s="354"/>
      <c r="H49" s="325"/>
      <c r="I49" s="354"/>
      <c r="J49" s="351"/>
    </row>
    <row r="50" spans="1:10" s="1" customFormat="1" ht="13.75" customHeight="1" x14ac:dyDescent="0.25">
      <c r="B50" s="135" t="s">
        <v>762</v>
      </c>
      <c r="C50" s="354">
        <v>28</v>
      </c>
      <c r="D50" s="325"/>
      <c r="E50" s="354">
        <v>4531</v>
      </c>
      <c r="F50" s="325"/>
      <c r="G50" s="354"/>
      <c r="H50" s="325"/>
      <c r="I50" s="354">
        <v>45</v>
      </c>
      <c r="J50" s="351"/>
    </row>
    <row r="51" spans="1:10" s="1" customFormat="1" ht="13.75" hidden="1" customHeight="1" x14ac:dyDescent="0.25">
      <c r="B51" s="325"/>
      <c r="C51" s="325"/>
      <c r="D51" s="325"/>
      <c r="E51" s="325"/>
      <c r="F51" s="325"/>
      <c r="G51" s="325"/>
      <c r="H51" s="325"/>
      <c r="I51" s="325"/>
      <c r="J51" s="351"/>
    </row>
    <row r="52" spans="1:10" s="1" customFormat="1" ht="13.75" hidden="1" customHeight="1" x14ac:dyDescent="0.25">
      <c r="B52" s="325"/>
      <c r="C52" s="325"/>
      <c r="D52" s="325"/>
      <c r="E52" s="325"/>
      <c r="F52" s="325"/>
      <c r="G52" s="325"/>
      <c r="H52" s="325"/>
      <c r="I52" s="325"/>
      <c r="J52" s="351"/>
    </row>
    <row r="53" spans="1:10" s="1" customFormat="1" ht="13.75" hidden="1" customHeight="1" x14ac:dyDescent="0.25">
      <c r="B53" s="325"/>
      <c r="C53" s="325"/>
      <c r="D53" s="325"/>
      <c r="E53" s="325"/>
      <c r="F53" s="325"/>
      <c r="G53" s="325"/>
      <c r="H53" s="325"/>
      <c r="I53" s="325"/>
      <c r="J53" s="351"/>
    </row>
    <row r="54" spans="1:10" s="245" customFormat="1" ht="13.75" hidden="1" customHeight="1" x14ac:dyDescent="0.25">
      <c r="B54" s="317"/>
      <c r="C54" s="317"/>
      <c r="D54" s="317"/>
      <c r="E54" s="317"/>
      <c r="F54" s="317"/>
      <c r="G54" s="317"/>
      <c r="H54" s="317"/>
      <c r="I54" s="317"/>
      <c r="J54" s="350"/>
    </row>
    <row r="55" spans="1:10" s="245" customFormat="1" ht="13.75" hidden="1" customHeight="1" x14ac:dyDescent="0.25">
      <c r="B55" s="317"/>
      <c r="C55" s="317"/>
      <c r="D55" s="317"/>
      <c r="E55" s="317"/>
      <c r="F55" s="317"/>
      <c r="G55" s="317"/>
      <c r="H55" s="317"/>
      <c r="I55" s="317"/>
      <c r="J55" s="350"/>
    </row>
    <row r="56" spans="1:10" s="245" customFormat="1" ht="13.75" hidden="1" customHeight="1" x14ac:dyDescent="0.25">
      <c r="B56" s="317"/>
      <c r="C56" s="317"/>
      <c r="D56" s="317"/>
      <c r="E56" s="317"/>
      <c r="F56" s="317"/>
      <c r="G56" s="317"/>
      <c r="H56" s="317"/>
      <c r="I56" s="317"/>
      <c r="J56" s="350"/>
    </row>
    <row r="57" spans="1:10" s="245" customFormat="1" ht="13.75" hidden="1" customHeight="1" x14ac:dyDescent="0.25">
      <c r="B57" s="317"/>
      <c r="C57" s="317"/>
      <c r="D57" s="317"/>
      <c r="E57" s="317"/>
      <c r="F57" s="317"/>
      <c r="G57" s="317"/>
      <c r="H57" s="317"/>
      <c r="I57" s="317"/>
      <c r="J57" s="350"/>
    </row>
    <row r="58" spans="1:10" s="245" customFormat="1" ht="13.75" hidden="1" customHeight="1" x14ac:dyDescent="0.25">
      <c r="B58" s="317"/>
      <c r="C58" s="317"/>
      <c r="D58" s="317"/>
      <c r="E58" s="317"/>
      <c r="F58" s="317"/>
      <c r="G58" s="317"/>
      <c r="H58" s="317"/>
      <c r="I58" s="317"/>
      <c r="J58" s="350"/>
    </row>
    <row r="59" spans="1:10" s="245" customFormat="1" ht="13.75" hidden="1" customHeight="1" x14ac:dyDescent="0.25">
      <c r="B59" s="317"/>
      <c r="C59" s="317"/>
      <c r="D59" s="317"/>
      <c r="E59" s="317"/>
      <c r="F59" s="317"/>
      <c r="G59" s="317"/>
      <c r="H59" s="317"/>
      <c r="I59" s="317"/>
      <c r="J59" s="350"/>
    </row>
    <row r="60" spans="1:10" s="245" customFormat="1" ht="13.75" hidden="1" customHeight="1" x14ac:dyDescent="0.25">
      <c r="B60" s="251"/>
      <c r="C60" s="251"/>
      <c r="D60" s="251"/>
      <c r="E60" s="251"/>
      <c r="F60" s="251"/>
      <c r="G60" s="251"/>
      <c r="H60" s="251"/>
      <c r="I60" s="251"/>
      <c r="J60" s="350"/>
    </row>
    <row r="61" spans="1:10" s="245" customFormat="1" ht="14.15" hidden="1" customHeight="1" x14ac:dyDescent="0.25">
      <c r="A61" s="243">
        <f>ROUNDDOWN(A1,0)+1</f>
        <v>33</v>
      </c>
      <c r="B61" s="348" t="str">
        <f>"[Note "&amp; A61&amp; " Transfers by absorption"</f>
        <v>[Note 33 Transfers by absorption</v>
      </c>
      <c r="C61" s="300"/>
      <c r="D61" s="300"/>
      <c r="E61" s="300"/>
      <c r="F61" s="300"/>
      <c r="G61" s="300"/>
    </row>
    <row r="62" spans="1:10" s="245" customFormat="1" ht="14.15" hidden="1" customHeight="1" x14ac:dyDescent="0.25">
      <c r="A62" s="243"/>
      <c r="B62" s="446" t="s">
        <v>1216</v>
      </c>
      <c r="C62" s="446"/>
      <c r="D62" s="446"/>
      <c r="E62" s="446"/>
      <c r="F62" s="446"/>
      <c r="G62" s="446"/>
      <c r="H62" s="446"/>
      <c r="I62" s="446"/>
    </row>
    <row r="63" spans="1:10" s="245" customFormat="1" ht="14.15" hidden="1" customHeight="1" x14ac:dyDescent="0.25">
      <c r="A63" s="243"/>
      <c r="B63" s="446"/>
      <c r="C63" s="446"/>
      <c r="D63" s="446"/>
      <c r="E63" s="446"/>
      <c r="F63" s="446"/>
      <c r="G63" s="446"/>
      <c r="H63" s="446"/>
      <c r="I63" s="446"/>
    </row>
    <row r="64" spans="1:10" s="245" customFormat="1" ht="14.15" hidden="1" customHeight="1" x14ac:dyDescent="0.25">
      <c r="A64" s="243"/>
      <c r="B64" s="446"/>
      <c r="C64" s="446"/>
      <c r="D64" s="446"/>
      <c r="E64" s="446"/>
      <c r="F64" s="446"/>
      <c r="G64" s="446"/>
      <c r="H64" s="446"/>
      <c r="I64" s="446"/>
    </row>
    <row r="65" spans="1:9" s="245" customFormat="1" ht="14.15" hidden="1" customHeight="1" x14ac:dyDescent="0.25">
      <c r="A65" s="243"/>
      <c r="B65" s="318"/>
      <c r="C65" s="318"/>
      <c r="D65" s="318"/>
      <c r="E65" s="318"/>
      <c r="F65" s="318"/>
      <c r="G65" s="318"/>
    </row>
    <row r="66" spans="1:9" s="245" customFormat="1" ht="14.15" hidden="1" customHeight="1" x14ac:dyDescent="0.25">
      <c r="A66" s="243"/>
    </row>
    <row r="67" spans="1:9" s="245" customFormat="1" ht="14.15" hidden="1" customHeight="1" x14ac:dyDescent="0.25">
      <c r="A67" s="243">
        <f>ROUNDDOWN(A61,0)+1</f>
        <v>34</v>
      </c>
      <c r="B67" s="348" t="str">
        <f>"[Note "&amp; A67&amp; " Prior period adjustments"</f>
        <v>[Note 34 Prior period adjustments</v>
      </c>
      <c r="C67" s="300"/>
      <c r="D67" s="300"/>
      <c r="E67" s="300"/>
      <c r="F67" s="300"/>
      <c r="G67" s="300"/>
    </row>
    <row r="68" spans="1:9" s="245" customFormat="1" ht="14.15" hidden="1" customHeight="1" x14ac:dyDescent="0.25">
      <c r="A68" s="243"/>
      <c r="B68" s="483" t="s">
        <v>1217</v>
      </c>
      <c r="C68" s="483"/>
      <c r="D68" s="483"/>
      <c r="E68" s="483"/>
      <c r="F68" s="483"/>
      <c r="G68" s="483"/>
      <c r="H68" s="483"/>
      <c r="I68" s="483"/>
    </row>
    <row r="69" spans="1:9" s="245" customFormat="1" ht="14.15" hidden="1" customHeight="1" x14ac:dyDescent="0.25">
      <c r="A69" s="243"/>
      <c r="B69" s="483"/>
      <c r="C69" s="483"/>
      <c r="D69" s="483"/>
      <c r="E69" s="483"/>
      <c r="F69" s="483"/>
      <c r="G69" s="483"/>
      <c r="H69" s="483"/>
      <c r="I69" s="483"/>
    </row>
    <row r="70" spans="1:9" s="245" customFormat="1" ht="14.15" hidden="1" customHeight="1" x14ac:dyDescent="0.25">
      <c r="A70" s="243"/>
      <c r="B70" s="319"/>
      <c r="C70" s="319"/>
      <c r="D70" s="319"/>
      <c r="E70" s="319"/>
      <c r="F70" s="319"/>
      <c r="G70" s="319"/>
    </row>
    <row r="71" spans="1:9" s="245" customFormat="1" ht="14.15" hidden="1" customHeight="1" x14ac:dyDescent="0.25">
      <c r="A71" s="243"/>
      <c r="C71" s="300"/>
      <c r="D71" s="300"/>
      <c r="E71" s="300"/>
      <c r="F71" s="300"/>
      <c r="G71" s="300"/>
    </row>
    <row r="72" spans="1:9" s="245" customFormat="1" ht="14.15" hidden="1" customHeight="1" x14ac:dyDescent="0.25">
      <c r="A72" s="243">
        <f>ROUNDDOWN(A67,0)+1</f>
        <v>35</v>
      </c>
      <c r="B72" s="348" t="str">
        <f>"[Note "&amp; A72&amp; " Events after the reporting date"</f>
        <v>[Note 35 Events after the reporting date</v>
      </c>
      <c r="C72" s="300"/>
      <c r="D72" s="300"/>
      <c r="E72" s="300"/>
      <c r="F72" s="300"/>
      <c r="G72" s="300"/>
    </row>
    <row r="73" spans="1:9" s="245" customFormat="1" ht="14.15" hidden="1" customHeight="1" x14ac:dyDescent="0.25">
      <c r="A73" s="243"/>
      <c r="B73" s="446" t="s">
        <v>1218</v>
      </c>
      <c r="C73" s="446"/>
      <c r="D73" s="446"/>
      <c r="E73" s="446"/>
      <c r="F73" s="446"/>
      <c r="G73" s="446"/>
      <c r="H73" s="446"/>
      <c r="I73" s="446"/>
    </row>
    <row r="74" spans="1:9" s="245" customFormat="1" ht="14.15" hidden="1" customHeight="1" x14ac:dyDescent="0.25">
      <c r="A74" s="243"/>
      <c r="B74" s="446"/>
      <c r="C74" s="446"/>
      <c r="D74" s="446"/>
      <c r="E74" s="446"/>
      <c r="F74" s="446"/>
      <c r="G74" s="446"/>
      <c r="H74" s="446"/>
      <c r="I74" s="446"/>
    </row>
    <row r="75" spans="1:9" s="245" customFormat="1" ht="14.15" hidden="1" customHeight="1" x14ac:dyDescent="0.25">
      <c r="A75" s="243"/>
      <c r="B75" s="446"/>
      <c r="C75" s="446"/>
      <c r="D75" s="446"/>
      <c r="E75" s="446"/>
      <c r="F75" s="446"/>
      <c r="G75" s="446"/>
      <c r="H75" s="446"/>
      <c r="I75" s="446"/>
    </row>
    <row r="76" spans="1:9" s="245" customFormat="1" ht="14.15" hidden="1" customHeight="1" x14ac:dyDescent="0.25">
      <c r="A76" s="243"/>
      <c r="B76" s="446"/>
      <c r="C76" s="446"/>
      <c r="D76" s="446"/>
      <c r="E76" s="446"/>
      <c r="F76" s="446"/>
      <c r="G76" s="446"/>
      <c r="H76" s="446"/>
      <c r="I76" s="446"/>
    </row>
    <row r="77" spans="1:9" s="245" customFormat="1" ht="14.15" hidden="1" customHeight="1" x14ac:dyDescent="0.25">
      <c r="A77" s="243"/>
      <c r="B77" s="446"/>
      <c r="C77" s="446"/>
      <c r="D77" s="446"/>
      <c r="E77" s="446"/>
      <c r="F77" s="446"/>
      <c r="G77" s="446"/>
      <c r="H77" s="446"/>
      <c r="I77" s="446"/>
    </row>
    <row r="78" spans="1:9" s="245" customFormat="1" ht="14.15" hidden="1" customHeight="1" x14ac:dyDescent="0.25">
      <c r="A78" s="243"/>
      <c r="B78" s="446"/>
      <c r="C78" s="446"/>
      <c r="D78" s="446"/>
      <c r="E78" s="446"/>
      <c r="F78" s="446"/>
      <c r="G78" s="446"/>
      <c r="H78" s="446"/>
      <c r="I78" s="446"/>
    </row>
    <row r="79" spans="1:9" s="245" customFormat="1" ht="14.15" hidden="1" customHeight="1" x14ac:dyDescent="0.25">
      <c r="A79" s="243"/>
      <c r="B79" s="446"/>
      <c r="C79" s="446"/>
      <c r="D79" s="446"/>
      <c r="E79" s="446"/>
      <c r="F79" s="446"/>
      <c r="G79" s="446"/>
      <c r="H79" s="446"/>
      <c r="I79" s="446"/>
    </row>
    <row r="80" spans="1:9" s="245" customFormat="1" ht="14.15" hidden="1" customHeight="1" x14ac:dyDescent="0.25">
      <c r="A80" s="243"/>
    </row>
    <row r="81" spans="1:13" s="245" customFormat="1" ht="14.15" hidden="1" customHeight="1" x14ac:dyDescent="0.35">
      <c r="A81" s="243"/>
      <c r="E81" s="237"/>
      <c r="F81" s="237"/>
    </row>
    <row r="82" spans="1:13" s="245" customFormat="1" ht="14.15" hidden="1" customHeight="1" x14ac:dyDescent="0.25">
      <c r="A82" s="243">
        <f>ROUNDDOWN(A72,0)+1</f>
        <v>36</v>
      </c>
      <c r="B82" s="279" t="str">
        <f>"[Note "&amp;A82&amp;" Final period of operation as a trust providing NHS healthcare"</f>
        <v>[Note 36 Final period of operation as a trust providing NHS healthcare</v>
      </c>
    </row>
    <row r="83" spans="1:13" s="245" customFormat="1" ht="14.15" hidden="1" customHeight="1" x14ac:dyDescent="0.25">
      <c r="A83" s="243"/>
      <c r="B83" s="446" t="s">
        <v>1547</v>
      </c>
      <c r="C83" s="446"/>
      <c r="D83" s="446"/>
      <c r="E83" s="446"/>
      <c r="F83" s="446"/>
      <c r="G83" s="446"/>
      <c r="H83" s="446"/>
      <c r="I83" s="446"/>
    </row>
    <row r="84" spans="1:13" s="245" customFormat="1" ht="14.15" hidden="1" customHeight="1" x14ac:dyDescent="0.25">
      <c r="A84" s="243"/>
      <c r="B84" s="446"/>
      <c r="C84" s="446"/>
      <c r="D84" s="446"/>
      <c r="E84" s="446"/>
      <c r="F84" s="446"/>
      <c r="G84" s="446"/>
      <c r="H84" s="446"/>
      <c r="I84" s="446"/>
    </row>
    <row r="85" spans="1:13" s="237" customFormat="1" ht="13.75" hidden="1" customHeight="1" x14ac:dyDescent="0.35">
      <c r="A85" s="278"/>
      <c r="K85" s="245"/>
      <c r="L85" s="245"/>
      <c r="M85" s="245"/>
    </row>
    <row r="86" spans="1:13" s="237" customFormat="1" ht="13.75" hidden="1" customHeight="1" x14ac:dyDescent="0.35">
      <c r="A86" s="278"/>
      <c r="K86" s="245"/>
      <c r="L86" s="245"/>
      <c r="M86" s="245"/>
    </row>
    <row r="87" spans="1:13" ht="9" customHeight="1" x14ac:dyDescent="0.35"/>
    <row r="88" spans="1:13" ht="13.75" customHeight="1" x14ac:dyDescent="0.35">
      <c r="A88" s="32">
        <f>A1+1</f>
        <v>33</v>
      </c>
      <c r="B88" s="93" t="str">
        <f>"Note "&amp;A88&amp;" Better Payment Practice code"</f>
        <v>Note 33 Better Payment Practice code</v>
      </c>
      <c r="C88" s="1"/>
      <c r="D88" s="1"/>
      <c r="E88" s="1"/>
      <c r="F88" s="1"/>
      <c r="G88" s="1"/>
      <c r="H88" s="1"/>
    </row>
    <row r="89" spans="1:13" ht="13.75" customHeight="1" x14ac:dyDescent="0.35">
      <c r="C89" s="80" t="str">
        <f>CurrentFY</f>
        <v>2024/25</v>
      </c>
      <c r="E89" s="80" t="str">
        <f>CurrentFY</f>
        <v>2024/25</v>
      </c>
      <c r="G89" s="80" t="str">
        <f>ComparativeFY</f>
        <v>2023/24</v>
      </c>
      <c r="I89" s="80" t="str">
        <f>ComparativeFY</f>
        <v>2023/24</v>
      </c>
    </row>
    <row r="90" spans="1:13" ht="13.75" customHeight="1" x14ac:dyDescent="0.35">
      <c r="B90" s="14" t="s">
        <v>1220</v>
      </c>
      <c r="C90" s="80" t="s">
        <v>1221</v>
      </c>
      <c r="E90" s="80" t="s">
        <v>542</v>
      </c>
      <c r="G90" s="80" t="s">
        <v>1221</v>
      </c>
      <c r="I90" s="80" t="s">
        <v>542</v>
      </c>
    </row>
    <row r="91" spans="1:13" ht="26.25" customHeight="1" x14ac:dyDescent="0.35">
      <c r="B91" s="105" t="s">
        <v>1222</v>
      </c>
      <c r="C91" s="41">
        <v>45798</v>
      </c>
      <c r="E91" s="41">
        <v>246582</v>
      </c>
      <c r="F91" s="41"/>
      <c r="G91" s="41">
        <v>47136</v>
      </c>
      <c r="H91" s="41"/>
      <c r="I91" s="41">
        <v>243282</v>
      </c>
    </row>
    <row r="92" spans="1:13" ht="13.75" customHeight="1" x14ac:dyDescent="0.35">
      <c r="B92" s="105" t="s">
        <v>1223</v>
      </c>
      <c r="C92" s="41">
        <v>43798</v>
      </c>
      <c r="E92" s="41">
        <v>239098</v>
      </c>
      <c r="F92" s="41"/>
      <c r="G92" s="41">
        <v>45040</v>
      </c>
      <c r="H92" s="41"/>
      <c r="I92" s="41">
        <v>236562</v>
      </c>
    </row>
    <row r="93" spans="1:13" ht="13.75" customHeight="1" thickBot="1" x14ac:dyDescent="0.4">
      <c r="B93" s="105" t="s">
        <v>1224</v>
      </c>
      <c r="C93" s="154">
        <f>IFERROR(C92/C91,0)</f>
        <v>0.95632997074108039</v>
      </c>
      <c r="E93" s="154">
        <f>IFERROR(E92/E91,0)</f>
        <v>0.9696490416980964</v>
      </c>
      <c r="G93" s="154">
        <f>IFERROR(G92/G91,0)</f>
        <v>0.95553292600135775</v>
      </c>
      <c r="I93" s="154">
        <f>IFERROR(I92/I91,0)</f>
        <v>0.97237773448097264</v>
      </c>
    </row>
    <row r="94" spans="1:13" ht="13.75" customHeight="1" thickTop="1" x14ac:dyDescent="0.35">
      <c r="E94" s="1"/>
      <c r="G94" s="1"/>
    </row>
    <row r="95" spans="1:13" ht="13.75" customHeight="1" x14ac:dyDescent="0.35">
      <c r="B95" s="14" t="s">
        <v>1225</v>
      </c>
      <c r="C95" s="41"/>
      <c r="E95" s="41"/>
      <c r="G95" s="41"/>
      <c r="I95" s="41"/>
    </row>
    <row r="96" spans="1:13" ht="29.25" customHeight="1" x14ac:dyDescent="0.35">
      <c r="B96" s="105" t="s">
        <v>1226</v>
      </c>
      <c r="C96" s="41">
        <v>545</v>
      </c>
      <c r="E96" s="41">
        <v>2033</v>
      </c>
      <c r="G96" s="41">
        <v>555</v>
      </c>
      <c r="I96" s="41">
        <v>3675</v>
      </c>
    </row>
    <row r="97" spans="1:9" ht="13.75" customHeight="1" x14ac:dyDescent="0.35">
      <c r="B97" s="105" t="s">
        <v>1227</v>
      </c>
      <c r="C97" s="41">
        <v>534</v>
      </c>
      <c r="E97" s="41">
        <v>2021</v>
      </c>
      <c r="G97" s="41">
        <v>538</v>
      </c>
      <c r="I97" s="41">
        <v>3616</v>
      </c>
    </row>
    <row r="98" spans="1:9" ht="25.5" customHeight="1" thickBot="1" x14ac:dyDescent="0.4">
      <c r="B98" s="105" t="s">
        <v>1228</v>
      </c>
      <c r="C98" s="154">
        <f>IFERROR(C97/C96,0)</f>
        <v>0.97981651376146794</v>
      </c>
      <c r="E98" s="154">
        <f>IFERROR(E97/E96,0)</f>
        <v>0.99409739301524835</v>
      </c>
      <c r="G98" s="154">
        <f>IFERROR(G97/G96,0)</f>
        <v>0.96936936936936935</v>
      </c>
      <c r="I98" s="154">
        <f>IFERROR(I97/I96,0)</f>
        <v>0.98394557823129247</v>
      </c>
    </row>
    <row r="99" spans="1:9" ht="13.75" customHeight="1" thickTop="1" x14ac:dyDescent="0.35">
      <c r="C99" s="1"/>
      <c r="E99" s="1"/>
      <c r="F99" s="1"/>
      <c r="G99" s="1"/>
      <c r="H99" s="1"/>
    </row>
    <row r="100" spans="1:9" ht="13.75" customHeight="1" x14ac:dyDescent="0.35">
      <c r="B100" s="459" t="s">
        <v>1229</v>
      </c>
      <c r="C100" s="459"/>
      <c r="D100" s="459"/>
      <c r="E100" s="459"/>
      <c r="F100" s="459"/>
      <c r="G100" s="459"/>
      <c r="H100" s="459"/>
      <c r="I100" s="459"/>
    </row>
    <row r="101" spans="1:9" ht="13.75" customHeight="1" x14ac:dyDescent="0.35">
      <c r="B101" s="459"/>
      <c r="C101" s="459"/>
      <c r="D101" s="459"/>
      <c r="E101" s="459"/>
      <c r="F101" s="459"/>
      <c r="G101" s="459"/>
      <c r="H101" s="459"/>
      <c r="I101" s="459"/>
    </row>
    <row r="102" spans="1:9" ht="13.75" customHeight="1" x14ac:dyDescent="0.35">
      <c r="B102" s="126"/>
      <c r="C102" s="126"/>
      <c r="D102" s="126"/>
      <c r="E102" s="126"/>
      <c r="F102" s="126"/>
      <c r="G102" s="126"/>
      <c r="H102" s="126"/>
      <c r="I102" s="126"/>
    </row>
    <row r="103" spans="1:9" ht="13.75" customHeight="1" x14ac:dyDescent="0.35">
      <c r="A103" s="32">
        <f>A88+1</f>
        <v>34</v>
      </c>
      <c r="B103" s="93" t="str">
        <f>"Note "&amp;A103&amp;" Capital Resource Limit "</f>
        <v xml:space="preserve">Note 34 Capital Resource Limit </v>
      </c>
      <c r="C103" s="1"/>
      <c r="D103" s="1"/>
      <c r="E103" s="1"/>
      <c r="F103" s="1"/>
      <c r="G103" s="1"/>
      <c r="H103" s="1"/>
    </row>
    <row r="104" spans="1:9" ht="13.75" customHeight="1" x14ac:dyDescent="0.35">
      <c r="B104" s="1"/>
      <c r="F104" s="1"/>
      <c r="G104" s="80" t="str">
        <f>CurrentFY</f>
        <v>2024/25</v>
      </c>
      <c r="H104" s="80"/>
      <c r="I104" s="80" t="str">
        <f>ComparativeFY</f>
        <v>2023/24</v>
      </c>
    </row>
    <row r="105" spans="1:9" ht="13.75" customHeight="1" x14ac:dyDescent="0.35">
      <c r="B105" s="1"/>
      <c r="F105" s="1"/>
      <c r="G105" s="80" t="s">
        <v>542</v>
      </c>
      <c r="H105" s="80"/>
      <c r="I105" s="80" t="s">
        <v>542</v>
      </c>
    </row>
    <row r="106" spans="1:9" ht="13.75" customHeight="1" x14ac:dyDescent="0.35">
      <c r="B106" s="105" t="s">
        <v>1230</v>
      </c>
      <c r="F106" s="1"/>
      <c r="G106" s="41">
        <v>31373</v>
      </c>
      <c r="H106" s="41"/>
      <c r="I106" s="41">
        <v>29012</v>
      </c>
    </row>
    <row r="107" spans="1:9" ht="13.75" customHeight="1" x14ac:dyDescent="0.35">
      <c r="B107" s="105" t="s">
        <v>1231</v>
      </c>
      <c r="F107" s="1"/>
      <c r="G107" s="41">
        <v>-1522.7430000000004</v>
      </c>
      <c r="H107" s="41"/>
      <c r="I107" s="41">
        <v>-692</v>
      </c>
    </row>
    <row r="108" spans="1:9" s="237" customFormat="1" ht="13.75" hidden="1" customHeight="1" x14ac:dyDescent="0.35">
      <c r="A108" s="278"/>
      <c r="B108" s="216" t="s">
        <v>1232</v>
      </c>
      <c r="F108" s="245"/>
      <c r="G108" s="218">
        <v>0</v>
      </c>
      <c r="H108" s="218"/>
      <c r="I108" s="218">
        <v>0</v>
      </c>
    </row>
    <row r="109" spans="1:9" ht="23.25" customHeight="1" x14ac:dyDescent="0.35">
      <c r="B109" s="432" t="s">
        <v>1529</v>
      </c>
      <c r="C109" s="432"/>
      <c r="D109" s="432"/>
      <c r="E109" s="432"/>
      <c r="F109" s="1"/>
      <c r="G109" s="41">
        <v>0</v>
      </c>
      <c r="H109" s="41"/>
      <c r="I109" s="41">
        <v>163</v>
      </c>
    </row>
    <row r="110" spans="1:9" ht="13.75" customHeight="1" thickBot="1" x14ac:dyDescent="0.4">
      <c r="B110" s="93" t="s">
        <v>1233</v>
      </c>
      <c r="F110" s="1"/>
      <c r="G110" s="42">
        <f>SUM(G106:G109)</f>
        <v>29850.256999999998</v>
      </c>
      <c r="H110" s="41"/>
      <c r="I110" s="42">
        <f>SUM(I106:I109)</f>
        <v>28483</v>
      </c>
    </row>
    <row r="111" spans="1:9" ht="13.75" customHeight="1" thickTop="1" x14ac:dyDescent="0.35">
      <c r="B111" s="1"/>
      <c r="F111" s="1"/>
      <c r="G111" s="1"/>
      <c r="H111" s="1"/>
      <c r="I111" s="1"/>
    </row>
    <row r="112" spans="1:9" ht="13.75" customHeight="1" x14ac:dyDescent="0.35">
      <c r="B112" s="105" t="s">
        <v>1234</v>
      </c>
      <c r="F112" s="1"/>
      <c r="G112" s="41">
        <v>29850</v>
      </c>
      <c r="H112" s="41"/>
      <c r="I112" s="41">
        <v>28483</v>
      </c>
    </row>
    <row r="113" spans="1:9" ht="13.75" customHeight="1" thickBot="1" x14ac:dyDescent="0.4">
      <c r="B113" s="14" t="s">
        <v>1235</v>
      </c>
      <c r="F113" s="41"/>
      <c r="G113" s="42">
        <f>G112-G110</f>
        <v>-0.25699999999778811</v>
      </c>
      <c r="H113" s="41"/>
      <c r="I113" s="42">
        <f>I112-I110</f>
        <v>0</v>
      </c>
    </row>
    <row r="114" spans="1:9" ht="13.75" customHeight="1" thickTop="1" x14ac:dyDescent="0.35"/>
    <row r="115" spans="1:9" ht="13.75" customHeight="1" x14ac:dyDescent="0.35">
      <c r="A115" s="32">
        <f>A103+1</f>
        <v>35</v>
      </c>
      <c r="B115" s="93" t="str">
        <f>"Note "&amp;A115&amp;" Breakeven duty financial performance "</f>
        <v xml:space="preserve">Note 35 Breakeven duty financial performance </v>
      </c>
    </row>
    <row r="116" spans="1:9" ht="13.75" customHeight="1" x14ac:dyDescent="0.35">
      <c r="B116" s="1"/>
      <c r="G116" s="80" t="str">
        <f>CurrentFY</f>
        <v>2024/25</v>
      </c>
      <c r="I116" s="288" t="s">
        <v>1321</v>
      </c>
    </row>
    <row r="117" spans="1:9" ht="13.75" customHeight="1" x14ac:dyDescent="0.35">
      <c r="B117" s="1"/>
      <c r="G117" s="80" t="s">
        <v>542</v>
      </c>
      <c r="I117" s="288" t="s">
        <v>542</v>
      </c>
    </row>
    <row r="118" spans="1:9" x14ac:dyDescent="0.35">
      <c r="B118" s="100" t="s">
        <v>495</v>
      </c>
      <c r="G118" s="41">
        <v>5221</v>
      </c>
      <c r="I118" s="388">
        <v>1798</v>
      </c>
    </row>
    <row r="119" spans="1:9" ht="27" customHeight="1" x14ac:dyDescent="0.35">
      <c r="B119" s="459" t="s">
        <v>497</v>
      </c>
      <c r="C119" s="459"/>
      <c r="D119" s="459"/>
      <c r="E119" s="459"/>
      <c r="G119" s="41">
        <v>854</v>
      </c>
      <c r="I119" s="388">
        <v>3664</v>
      </c>
    </row>
    <row r="120" spans="1:9" x14ac:dyDescent="0.35">
      <c r="B120" s="100" t="s">
        <v>499</v>
      </c>
      <c r="G120" s="41">
        <v>172</v>
      </c>
      <c r="I120" s="388">
        <v>174</v>
      </c>
    </row>
    <row r="121" spans="1:9" ht="26.25" customHeight="1" x14ac:dyDescent="0.35">
      <c r="B121" s="459" t="s">
        <v>1736</v>
      </c>
      <c r="C121" s="459"/>
      <c r="D121" s="459"/>
      <c r="E121" s="459"/>
      <c r="G121" s="41">
        <v>41</v>
      </c>
      <c r="I121" s="388">
        <v>48</v>
      </c>
    </row>
    <row r="122" spans="1:9" x14ac:dyDescent="0.35">
      <c r="B122" s="93" t="s">
        <v>1318</v>
      </c>
      <c r="I122" s="388">
        <v>163</v>
      </c>
    </row>
    <row r="123" spans="1:9" ht="15" thickBot="1" x14ac:dyDescent="0.4">
      <c r="B123" t="s">
        <v>502</v>
      </c>
      <c r="G123" s="42">
        <f>SUM(G118:G121)</f>
        <v>6288</v>
      </c>
      <c r="I123" s="389">
        <v>5847</v>
      </c>
    </row>
    <row r="124" spans="1:9" ht="13.75" customHeight="1" thickTop="1" x14ac:dyDescent="0.35"/>
    <row r="125" spans="1:9" ht="13.75" customHeight="1" x14ac:dyDescent="0.35"/>
    <row r="126" spans="1:9" ht="13.75" customHeight="1" x14ac:dyDescent="0.35"/>
    <row r="127" spans="1:9" ht="13.75" customHeight="1" x14ac:dyDescent="0.35"/>
    <row r="128" spans="1:9" ht="13.75" customHeight="1" x14ac:dyDescent="0.35"/>
    <row r="129" ht="13.75" customHeight="1" x14ac:dyDescent="0.35"/>
    <row r="130" ht="13.75" customHeight="1" x14ac:dyDescent="0.35"/>
    <row r="131" ht="13.75" customHeight="1" x14ac:dyDescent="0.35"/>
    <row r="132" ht="13.75" customHeight="1" x14ac:dyDescent="0.35"/>
    <row r="133" ht="13.75" customHeight="1" x14ac:dyDescent="0.35"/>
    <row r="134" ht="13.75" customHeight="1" x14ac:dyDescent="0.35"/>
    <row r="135" ht="13.75" customHeight="1" x14ac:dyDescent="0.35"/>
    <row r="136" ht="13.75" customHeight="1" x14ac:dyDescent="0.35"/>
    <row r="137" ht="13.75" customHeight="1" x14ac:dyDescent="0.35"/>
    <row r="138" ht="13.75" customHeight="1" x14ac:dyDescent="0.35"/>
    <row r="139" ht="13.75" customHeight="1" x14ac:dyDescent="0.35"/>
    <row r="140" ht="13.75" customHeight="1" x14ac:dyDescent="0.35"/>
    <row r="141" ht="13.75" customHeight="1" x14ac:dyDescent="0.35"/>
    <row r="142" ht="13.75" customHeight="1" x14ac:dyDescent="0.35"/>
    <row r="143" ht="13.75" customHeight="1" x14ac:dyDescent="0.35"/>
    <row r="144" ht="13.75" customHeight="1" x14ac:dyDescent="0.35"/>
    <row r="145" ht="13.75" customHeight="1" x14ac:dyDescent="0.35"/>
    <row r="146" ht="13.75" customHeight="1" x14ac:dyDescent="0.35"/>
    <row r="147" ht="13.75" customHeight="1" x14ac:dyDescent="0.35"/>
    <row r="148" ht="13.75" customHeight="1" x14ac:dyDescent="0.35"/>
    <row r="149" ht="13.75" customHeight="1" x14ac:dyDescent="0.35"/>
    <row r="150" ht="13.75" customHeight="1" x14ac:dyDescent="0.35"/>
    <row r="151" ht="13.75" customHeight="1" x14ac:dyDescent="0.35"/>
    <row r="152" ht="13.75" customHeight="1" x14ac:dyDescent="0.35"/>
    <row r="153" ht="13.75" customHeight="1" x14ac:dyDescent="0.35"/>
    <row r="154" ht="13.75" customHeight="1" x14ac:dyDescent="0.35"/>
    <row r="155" ht="13.75" customHeight="1" x14ac:dyDescent="0.35"/>
    <row r="156" ht="13.75" customHeight="1" x14ac:dyDescent="0.35"/>
    <row r="157" ht="13.75" customHeight="1" x14ac:dyDescent="0.35"/>
    <row r="158" ht="13.75" customHeight="1" x14ac:dyDescent="0.35"/>
    <row r="159" ht="13.75" customHeight="1" x14ac:dyDescent="0.35"/>
    <row r="160" ht="13.75" customHeight="1" x14ac:dyDescent="0.35"/>
    <row r="161" ht="13.75" customHeight="1" x14ac:dyDescent="0.35"/>
    <row r="162" ht="13.75" customHeight="1" x14ac:dyDescent="0.35"/>
    <row r="163" ht="13.75" customHeight="1" x14ac:dyDescent="0.35"/>
    <row r="164" ht="13.75" customHeight="1" x14ac:dyDescent="0.35"/>
    <row r="165" ht="13.75" customHeight="1" x14ac:dyDescent="0.35"/>
    <row r="166" ht="13.75" customHeight="1" x14ac:dyDescent="0.35"/>
    <row r="167" ht="13.75" customHeight="1" x14ac:dyDescent="0.35"/>
    <row r="168" ht="13.75" customHeight="1" x14ac:dyDescent="0.35"/>
    <row r="169" ht="13.75" customHeight="1" x14ac:dyDescent="0.35"/>
    <row r="170" ht="13.75" customHeight="1" x14ac:dyDescent="0.35"/>
    <row r="171" ht="13.75" customHeight="1" x14ac:dyDescent="0.35"/>
    <row r="172" ht="13.75" customHeight="1" x14ac:dyDescent="0.35"/>
    <row r="173" ht="13.75" customHeight="1" x14ac:dyDescent="0.35"/>
    <row r="174" ht="13.75" customHeight="1" x14ac:dyDescent="0.35"/>
    <row r="175" ht="13.75" customHeight="1" x14ac:dyDescent="0.35"/>
    <row r="176" ht="13.75" customHeight="1" x14ac:dyDescent="0.35"/>
    <row r="177" ht="13.75" customHeight="1" x14ac:dyDescent="0.35"/>
    <row r="178" ht="13.75" customHeight="1" x14ac:dyDescent="0.35"/>
    <row r="179" ht="13.75" customHeight="1" x14ac:dyDescent="0.35"/>
    <row r="180" ht="13.75" customHeight="1" x14ac:dyDescent="0.35"/>
    <row r="181" ht="13.75" customHeight="1" x14ac:dyDescent="0.35"/>
    <row r="182" ht="13.75" customHeight="1" x14ac:dyDescent="0.35"/>
    <row r="183" ht="13.75" customHeight="1" x14ac:dyDescent="0.35"/>
    <row r="184" ht="13.75" customHeight="1" x14ac:dyDescent="0.35"/>
    <row r="185" ht="13.75" customHeight="1" x14ac:dyDescent="0.35"/>
    <row r="186" ht="13.75" customHeight="1" x14ac:dyDescent="0.35"/>
    <row r="187" ht="13.75" customHeight="1" x14ac:dyDescent="0.35"/>
    <row r="188" ht="13.75" customHeight="1" x14ac:dyDescent="0.35"/>
    <row r="189" ht="13.75" customHeight="1" x14ac:dyDescent="0.35"/>
    <row r="190" ht="13.75" customHeight="1" x14ac:dyDescent="0.35"/>
    <row r="191" ht="13.75" customHeight="1" x14ac:dyDescent="0.35"/>
    <row r="192" ht="13.75" customHeight="1" x14ac:dyDescent="0.35"/>
    <row r="193" ht="13.75" customHeight="1" x14ac:dyDescent="0.35"/>
    <row r="194" ht="13.75" customHeight="1" x14ac:dyDescent="0.35"/>
    <row r="195" ht="13.75" customHeight="1" x14ac:dyDescent="0.35"/>
    <row r="196" ht="13.75" customHeight="1" x14ac:dyDescent="0.35"/>
    <row r="197" ht="13.75" customHeight="1" x14ac:dyDescent="0.35"/>
    <row r="198" ht="13.75" customHeight="1" x14ac:dyDescent="0.35"/>
    <row r="199" ht="13.75" customHeight="1" x14ac:dyDescent="0.35"/>
    <row r="200" ht="13.75" customHeight="1" x14ac:dyDescent="0.35"/>
    <row r="201" ht="13.75" customHeight="1" x14ac:dyDescent="0.35"/>
    <row r="202" ht="13.75" customHeight="1" x14ac:dyDescent="0.35"/>
    <row r="203" ht="13.75" customHeight="1" x14ac:dyDescent="0.35"/>
    <row r="204" ht="13.75" customHeight="1" x14ac:dyDescent="0.35"/>
    <row r="205" ht="13.75" customHeight="1" x14ac:dyDescent="0.35"/>
    <row r="206" ht="13.75" customHeight="1" x14ac:dyDescent="0.35"/>
    <row r="207" ht="13.75" customHeight="1" x14ac:dyDescent="0.35"/>
    <row r="208" ht="13.75" customHeight="1" x14ac:dyDescent="0.35"/>
    <row r="209" ht="13.75" customHeight="1" x14ac:dyDescent="0.35"/>
    <row r="210" ht="13.75" customHeight="1" x14ac:dyDescent="0.35"/>
    <row r="211" ht="13.75" customHeight="1" x14ac:dyDescent="0.35"/>
    <row r="212" ht="13.75" customHeight="1" x14ac:dyDescent="0.35"/>
    <row r="213" ht="13.75" customHeight="1" x14ac:dyDescent="0.35"/>
    <row r="214" ht="13.75" customHeight="1" x14ac:dyDescent="0.35"/>
    <row r="215" ht="13.75" customHeight="1" x14ac:dyDescent="0.35"/>
    <row r="216" ht="13.75" customHeight="1" x14ac:dyDescent="0.35"/>
    <row r="217" ht="13.75" customHeight="1" x14ac:dyDescent="0.35"/>
    <row r="218" ht="13.75" customHeight="1" x14ac:dyDescent="0.35"/>
    <row r="219" ht="13.75" customHeight="1" x14ac:dyDescent="0.35"/>
    <row r="220" ht="13.75" customHeight="1" x14ac:dyDescent="0.35"/>
    <row r="221" ht="13.75" customHeight="1" x14ac:dyDescent="0.35"/>
    <row r="222" ht="13.75" customHeight="1" x14ac:dyDescent="0.35"/>
    <row r="223" ht="13.75" customHeight="1" x14ac:dyDescent="0.35"/>
    <row r="224" ht="13.75" customHeight="1" x14ac:dyDescent="0.35"/>
    <row r="225" ht="13.75" customHeight="1" x14ac:dyDescent="0.35"/>
    <row r="226" ht="13.75" customHeight="1" x14ac:dyDescent="0.35"/>
    <row r="227" ht="13.75" customHeight="1" x14ac:dyDescent="0.35"/>
    <row r="228" ht="13.75" customHeight="1" x14ac:dyDescent="0.35"/>
    <row r="229" ht="13.75" customHeight="1" x14ac:dyDescent="0.35"/>
    <row r="230" ht="13.75" customHeight="1" x14ac:dyDescent="0.35"/>
    <row r="231" ht="13.75" customHeight="1" x14ac:dyDescent="0.35"/>
    <row r="232" ht="13.75" customHeight="1" x14ac:dyDescent="0.35"/>
    <row r="233" ht="13.75" customHeight="1" x14ac:dyDescent="0.35"/>
    <row r="234" ht="13.75" customHeight="1" x14ac:dyDescent="0.35"/>
    <row r="235" ht="13.75" customHeight="1" x14ac:dyDescent="0.35"/>
    <row r="236" ht="13.75" customHeight="1" x14ac:dyDescent="0.35"/>
    <row r="237" ht="13.75" customHeight="1" x14ac:dyDescent="0.35"/>
    <row r="238" ht="13.75" customHeight="1" x14ac:dyDescent="0.35"/>
    <row r="239" ht="13.75" customHeight="1" x14ac:dyDescent="0.35"/>
    <row r="240" ht="13.75" customHeight="1" x14ac:dyDescent="0.35"/>
    <row r="241" ht="13.75" customHeight="1" x14ac:dyDescent="0.35"/>
    <row r="242" ht="13.75" customHeight="1" x14ac:dyDescent="0.35"/>
    <row r="243" ht="13.75" customHeight="1" x14ac:dyDescent="0.35"/>
    <row r="244" ht="13.75" customHeight="1" x14ac:dyDescent="0.35"/>
    <row r="245" ht="13.75" customHeight="1" x14ac:dyDescent="0.35"/>
    <row r="246" ht="13.75" customHeight="1" x14ac:dyDescent="0.35"/>
    <row r="247" ht="13.75" customHeight="1" x14ac:dyDescent="0.35"/>
    <row r="248" ht="13.75" customHeight="1" x14ac:dyDescent="0.35"/>
    <row r="249" ht="13.75" customHeight="1" x14ac:dyDescent="0.35"/>
    <row r="250" ht="13.75" customHeight="1" x14ac:dyDescent="0.35"/>
    <row r="251" ht="13.75" customHeight="1" x14ac:dyDescent="0.35"/>
    <row r="252" ht="13.75" customHeight="1" x14ac:dyDescent="0.35"/>
    <row r="253" ht="13.75" customHeight="1" x14ac:dyDescent="0.35"/>
    <row r="254" ht="13.75" customHeight="1" x14ac:dyDescent="0.35"/>
    <row r="255" ht="13.75" customHeight="1" x14ac:dyDescent="0.35"/>
    <row r="256" ht="13.75" customHeight="1" x14ac:dyDescent="0.35"/>
    <row r="257" ht="13.75" customHeight="1" x14ac:dyDescent="0.35"/>
    <row r="258" ht="13.75" customHeight="1" x14ac:dyDescent="0.35"/>
    <row r="259" ht="13.75" customHeight="1" x14ac:dyDescent="0.35"/>
    <row r="260" ht="13.75" customHeight="1" x14ac:dyDescent="0.35"/>
    <row r="261" ht="13.75" customHeight="1" x14ac:dyDescent="0.35"/>
    <row r="262" ht="13.75" customHeight="1" x14ac:dyDescent="0.35"/>
    <row r="263" ht="13.75" customHeight="1" x14ac:dyDescent="0.35"/>
    <row r="264" ht="13.75" customHeight="1" x14ac:dyDescent="0.35"/>
    <row r="265" ht="13.75" customHeight="1" x14ac:dyDescent="0.35"/>
    <row r="266" ht="13.75" customHeight="1" x14ac:dyDescent="0.35"/>
    <row r="267" ht="13.75" customHeight="1" x14ac:dyDescent="0.35"/>
    <row r="268" ht="13.75" customHeight="1" x14ac:dyDescent="0.35"/>
    <row r="269" ht="13.75" customHeight="1" x14ac:dyDescent="0.35"/>
    <row r="270" ht="13.75" customHeight="1" x14ac:dyDescent="0.35"/>
    <row r="271" ht="13.75" customHeight="1" x14ac:dyDescent="0.35"/>
    <row r="272" ht="13.75" customHeight="1" x14ac:dyDescent="0.35"/>
    <row r="273" ht="13.75" customHeight="1" x14ac:dyDescent="0.35"/>
    <row r="274" ht="13.75" customHeight="1" x14ac:dyDescent="0.35"/>
    <row r="275" ht="13.75" customHeight="1" x14ac:dyDescent="0.35"/>
    <row r="276" ht="13.75" customHeight="1" x14ac:dyDescent="0.35"/>
    <row r="277" ht="13.75" customHeight="1" x14ac:dyDescent="0.35"/>
    <row r="278" ht="13.75" customHeight="1" x14ac:dyDescent="0.35"/>
    <row r="279" ht="13.75" customHeight="1" x14ac:dyDescent="0.35"/>
    <row r="280" ht="13.75" customHeight="1" x14ac:dyDescent="0.35"/>
    <row r="281" ht="13.75" customHeight="1" x14ac:dyDescent="0.35"/>
    <row r="282" ht="13.75" customHeight="1" x14ac:dyDescent="0.35"/>
    <row r="283" ht="13.75" customHeight="1" x14ac:dyDescent="0.35"/>
    <row r="284" ht="13.75" customHeight="1" x14ac:dyDescent="0.35"/>
    <row r="285" ht="13.75" customHeight="1" x14ac:dyDescent="0.35"/>
    <row r="286" ht="13.75" customHeight="1" x14ac:dyDescent="0.35"/>
    <row r="287" ht="13.75" customHeight="1" x14ac:dyDescent="0.35"/>
    <row r="288" ht="13.75" customHeight="1" x14ac:dyDescent="0.35"/>
    <row r="289" ht="13.75" customHeight="1" x14ac:dyDescent="0.35"/>
    <row r="290" ht="13.75" customHeight="1" x14ac:dyDescent="0.35"/>
    <row r="291" ht="13.75" customHeight="1" x14ac:dyDescent="0.35"/>
    <row r="292" ht="13.75" customHeight="1" x14ac:dyDescent="0.35"/>
    <row r="293" ht="13.75" customHeight="1" x14ac:dyDescent="0.35"/>
    <row r="294" ht="13.75" customHeight="1" x14ac:dyDescent="0.35"/>
    <row r="295" ht="13.75" customHeight="1" x14ac:dyDescent="0.35"/>
  </sheetData>
  <customSheetViews>
    <customSheetView guid="{EDC1BD6E-863A-4FC6-A3A9-F32079F4F0C1}">
      <selection activeCell="G28" sqref="G28"/>
      <pageMargins left="0" right="0" top="0" bottom="0" header="0" footer="0"/>
      <pageSetup paperSize="9" orientation="portrait" verticalDpi="0" r:id="rId1"/>
    </customSheetView>
  </customSheetViews>
  <mergeCells count="12">
    <mergeCell ref="B18:I26"/>
    <mergeCell ref="B2:I16"/>
    <mergeCell ref="B62:I64"/>
    <mergeCell ref="B68:I69"/>
    <mergeCell ref="B73:I79"/>
    <mergeCell ref="B30:I30"/>
    <mergeCell ref="B28:I28"/>
    <mergeCell ref="B119:E119"/>
    <mergeCell ref="B121:E121"/>
    <mergeCell ref="B109:E109"/>
    <mergeCell ref="B100:I101"/>
    <mergeCell ref="B83:I84"/>
  </mergeCells>
  <pageMargins left="0.59055118110236227" right="0.59055118110236227" top="0.59055118110236227" bottom="0.59055118110236227" header="0" footer="0"/>
  <pageSetup paperSize="9" orientation="portrait" r:id="rId2"/>
  <headerFooter>
    <oddFooter>Page &amp;P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tabColor rgb="FF92D050"/>
  </sheetPr>
  <dimension ref="A1:K56"/>
  <sheetViews>
    <sheetView topLeftCell="A38" workbookViewId="0"/>
  </sheetViews>
  <sheetFormatPr defaultRowHeight="14.5" x14ac:dyDescent="0.35"/>
  <cols>
    <col min="1" max="1" width="1.26953125" customWidth="1"/>
    <col min="2" max="2" width="36.453125" customWidth="1"/>
    <col min="3" max="3" width="9.453125" customWidth="1"/>
    <col min="4" max="4" width="12.26953125" customWidth="1"/>
    <col min="5" max="5" width="10.7265625" customWidth="1"/>
    <col min="6" max="6" width="10" customWidth="1"/>
    <col min="7" max="7" width="10.7265625" customWidth="1"/>
    <col min="8" max="8" width="11.453125" customWidth="1"/>
    <col min="9" max="9" width="10.7265625" customWidth="1"/>
    <col min="10" max="10" width="9.7265625" customWidth="1"/>
  </cols>
  <sheetData>
    <row r="1" spans="1:9" s="237" customFormat="1" ht="23.5" hidden="1" x14ac:dyDescent="0.55000000000000004">
      <c r="B1" s="355" t="s">
        <v>1219</v>
      </c>
    </row>
    <row r="2" spans="1:9" s="237" customFormat="1" ht="13.75" hidden="1" customHeight="1" x14ac:dyDescent="0.35">
      <c r="A2" s="243">
        <f>ROUNDDOWN('32-35 RP,CRL&amp;BE'!A82,0)+1</f>
        <v>37</v>
      </c>
      <c r="B2" s="221" t="str">
        <f>"Note "&amp;A2&amp;" Better Payment Practice code"</f>
        <v>Note 37 Better Payment Practice code</v>
      </c>
      <c r="C2" s="245"/>
      <c r="D2" s="245"/>
      <c r="E2" s="245"/>
      <c r="F2" s="245"/>
      <c r="G2" s="245"/>
      <c r="H2" s="245"/>
    </row>
    <row r="3" spans="1:9" s="237" customFormat="1" ht="13.75" hidden="1" customHeight="1" x14ac:dyDescent="0.35">
      <c r="A3" s="243"/>
      <c r="C3" s="266" t="str">
        <f>CurrentFY</f>
        <v>2024/25</v>
      </c>
      <c r="E3" s="266" t="str">
        <f>CurrentFY</f>
        <v>2024/25</v>
      </c>
      <c r="G3" s="266" t="str">
        <f>ComparativeFY</f>
        <v>2023/24</v>
      </c>
      <c r="I3" s="266" t="str">
        <f>ComparativeFY</f>
        <v>2023/24</v>
      </c>
    </row>
    <row r="4" spans="1:9" s="237" customFormat="1" ht="13.75" hidden="1" customHeight="1" x14ac:dyDescent="0.35">
      <c r="A4" s="243"/>
      <c r="B4" s="255" t="s">
        <v>1220</v>
      </c>
      <c r="C4" s="266" t="s">
        <v>1221</v>
      </c>
      <c r="E4" s="266" t="s">
        <v>542</v>
      </c>
      <c r="G4" s="266" t="s">
        <v>1221</v>
      </c>
      <c r="I4" s="266" t="s">
        <v>542</v>
      </c>
    </row>
    <row r="5" spans="1:9" s="237" customFormat="1" ht="13.75" hidden="1" customHeight="1" x14ac:dyDescent="0.35">
      <c r="A5" s="243"/>
      <c r="B5" s="216" t="s">
        <v>1222</v>
      </c>
      <c r="C5" s="218"/>
      <c r="E5" s="218"/>
      <c r="F5" s="218"/>
      <c r="G5" s="218"/>
      <c r="H5" s="218"/>
      <c r="I5" s="218"/>
    </row>
    <row r="6" spans="1:9" s="237" customFormat="1" ht="13.75" hidden="1" customHeight="1" x14ac:dyDescent="0.35">
      <c r="A6" s="243"/>
      <c r="B6" s="216" t="s">
        <v>1223</v>
      </c>
      <c r="C6" s="218"/>
      <c r="E6" s="218"/>
      <c r="F6" s="218"/>
      <c r="G6" s="218"/>
      <c r="H6" s="218"/>
      <c r="I6" s="218"/>
    </row>
    <row r="7" spans="1:9" s="237" customFormat="1" ht="27.75" hidden="1" customHeight="1" thickBot="1" x14ac:dyDescent="0.4">
      <c r="A7" s="243"/>
      <c r="B7" s="216" t="s">
        <v>1224</v>
      </c>
      <c r="C7" s="356">
        <f>IFERROR(C6/C5,0)</f>
        <v>0</v>
      </c>
      <c r="E7" s="356">
        <f>IFERROR(E6/E5,0)</f>
        <v>0</v>
      </c>
      <c r="G7" s="356">
        <f>IFERROR(G6/G5,0)</f>
        <v>0</v>
      </c>
      <c r="I7" s="356">
        <f>IFERROR(I6/I5,0)</f>
        <v>0</v>
      </c>
    </row>
    <row r="8" spans="1:9" s="237" customFormat="1" ht="7.5" hidden="1" customHeight="1" thickTop="1" x14ac:dyDescent="0.35">
      <c r="A8" s="243"/>
      <c r="E8" s="245"/>
      <c r="G8" s="245"/>
    </row>
    <row r="9" spans="1:9" s="237" customFormat="1" ht="13.75" hidden="1" customHeight="1" x14ac:dyDescent="0.35">
      <c r="A9" s="243"/>
      <c r="B9" s="255" t="s">
        <v>1225</v>
      </c>
      <c r="C9" s="218"/>
      <c r="E9" s="218"/>
      <c r="G9" s="218"/>
      <c r="I9" s="218"/>
    </row>
    <row r="10" spans="1:9" s="237" customFormat="1" ht="13.75" hidden="1" customHeight="1" x14ac:dyDescent="0.35">
      <c r="A10" s="243"/>
      <c r="B10" s="216" t="s">
        <v>1226</v>
      </c>
      <c r="C10" s="218"/>
      <c r="E10" s="218"/>
      <c r="G10" s="218"/>
      <c r="I10" s="218"/>
    </row>
    <row r="11" spans="1:9" s="237" customFormat="1" ht="13.75" hidden="1" customHeight="1" x14ac:dyDescent="0.35">
      <c r="A11" s="243"/>
      <c r="B11" s="216" t="s">
        <v>1227</v>
      </c>
      <c r="C11" s="218"/>
      <c r="E11" s="218"/>
      <c r="G11" s="218"/>
      <c r="I11" s="218"/>
    </row>
    <row r="12" spans="1:9" s="237" customFormat="1" ht="13.75" hidden="1" customHeight="1" thickBot="1" x14ac:dyDescent="0.4">
      <c r="A12" s="243"/>
      <c r="B12" s="224" t="s">
        <v>1228</v>
      </c>
      <c r="C12" s="356">
        <f>IFERROR(C11/C10,0)</f>
        <v>0</v>
      </c>
      <c r="E12" s="356">
        <f>IFERROR(E11/E10,0)</f>
        <v>0</v>
      </c>
      <c r="G12" s="356">
        <f>IFERROR(G11/G10,0)</f>
        <v>0</v>
      </c>
      <c r="I12" s="356">
        <f>IFERROR(I11/I10,0)</f>
        <v>0</v>
      </c>
    </row>
    <row r="13" spans="1:9" s="237" customFormat="1" ht="8.9" hidden="1" customHeight="1" thickTop="1" x14ac:dyDescent="0.35">
      <c r="A13" s="243"/>
      <c r="C13" s="245"/>
      <c r="E13" s="245"/>
      <c r="F13" s="245"/>
      <c r="G13" s="245"/>
      <c r="H13" s="245"/>
    </row>
    <row r="14" spans="1:9" s="237" customFormat="1" ht="15" hidden="1" customHeight="1" x14ac:dyDescent="0.35">
      <c r="A14" s="243"/>
      <c r="B14" s="462" t="s">
        <v>1229</v>
      </c>
      <c r="C14" s="462"/>
      <c r="D14" s="462"/>
      <c r="E14" s="462"/>
      <c r="F14" s="462"/>
      <c r="G14" s="462"/>
      <c r="H14" s="462"/>
      <c r="I14" s="462"/>
    </row>
    <row r="15" spans="1:9" s="237" customFormat="1" hidden="1" x14ac:dyDescent="0.35">
      <c r="A15" s="243"/>
      <c r="B15" s="462"/>
      <c r="C15" s="462"/>
      <c r="D15" s="462"/>
      <c r="E15" s="462"/>
      <c r="F15" s="462"/>
      <c r="G15" s="462"/>
      <c r="H15" s="462"/>
      <c r="I15" s="462"/>
    </row>
    <row r="16" spans="1:9" s="237" customFormat="1" ht="13.75" hidden="1" customHeight="1" x14ac:dyDescent="0.35">
      <c r="A16" s="243"/>
      <c r="B16" s="357"/>
      <c r="C16" s="357"/>
      <c r="D16" s="357"/>
      <c r="E16" s="357"/>
      <c r="F16" s="357"/>
      <c r="G16" s="357"/>
      <c r="H16" s="357"/>
      <c r="I16" s="357"/>
    </row>
    <row r="17" spans="1:9" s="237" customFormat="1" ht="13.75" hidden="1" customHeight="1" x14ac:dyDescent="0.35">
      <c r="A17" s="243">
        <f>ROUNDDOWN(A2,0)+1</f>
        <v>38</v>
      </c>
      <c r="B17" s="221" t="str">
        <f>"Note "&amp;A17&amp;" Capital Resource Limit "</f>
        <v xml:space="preserve">Note 38 Capital Resource Limit </v>
      </c>
      <c r="C17" s="245"/>
      <c r="D17" s="245"/>
      <c r="E17" s="245"/>
      <c r="F17" s="245"/>
      <c r="G17" s="245"/>
      <c r="H17" s="245"/>
    </row>
    <row r="18" spans="1:9" s="237" customFormat="1" ht="13.75" hidden="1" customHeight="1" x14ac:dyDescent="0.35">
      <c r="A18" s="243"/>
      <c r="B18" s="245"/>
      <c r="F18" s="245"/>
      <c r="G18" s="266" t="str">
        <f>CurrentFY</f>
        <v>2024/25</v>
      </c>
      <c r="H18" s="266"/>
      <c r="I18" s="266" t="str">
        <f>ComparativeFY</f>
        <v>2023/24</v>
      </c>
    </row>
    <row r="19" spans="1:9" s="237" customFormat="1" ht="13.75" hidden="1" customHeight="1" x14ac:dyDescent="0.35">
      <c r="A19" s="243"/>
      <c r="B19" s="245"/>
      <c r="F19" s="245"/>
      <c r="G19" s="266" t="s">
        <v>542</v>
      </c>
      <c r="H19" s="266"/>
      <c r="I19" s="266" t="s">
        <v>542</v>
      </c>
    </row>
    <row r="20" spans="1:9" s="237" customFormat="1" ht="13.75" hidden="1" customHeight="1" x14ac:dyDescent="0.35">
      <c r="A20" s="243"/>
      <c r="B20" s="216" t="s">
        <v>1230</v>
      </c>
      <c r="F20" s="245"/>
      <c r="G20" s="218">
        <v>31373</v>
      </c>
      <c r="H20" s="218"/>
      <c r="I20" s="218">
        <v>29012</v>
      </c>
    </row>
    <row r="21" spans="1:9" s="237" customFormat="1" ht="13.75" hidden="1" customHeight="1" x14ac:dyDescent="0.35">
      <c r="A21" s="243"/>
      <c r="B21" s="216" t="s">
        <v>1231</v>
      </c>
      <c r="F21" s="245"/>
      <c r="G21" s="218">
        <v>-1522.7430000000004</v>
      </c>
      <c r="H21" s="218"/>
      <c r="I21" s="218">
        <v>-692</v>
      </c>
    </row>
    <row r="22" spans="1:9" s="237" customFormat="1" ht="13.75" hidden="1" customHeight="1" x14ac:dyDescent="0.35">
      <c r="A22" s="243"/>
      <c r="B22" s="216" t="s">
        <v>1232</v>
      </c>
      <c r="F22" s="245"/>
      <c r="G22" s="218">
        <v>0</v>
      </c>
      <c r="H22" s="218"/>
      <c r="I22" s="218">
        <v>0</v>
      </c>
    </row>
    <row r="23" spans="1:9" s="237" customFormat="1" ht="13.75" hidden="1" customHeight="1" x14ac:dyDescent="0.35">
      <c r="A23" s="243"/>
      <c r="B23" s="224" t="s">
        <v>1529</v>
      </c>
      <c r="F23" s="245"/>
      <c r="G23" s="218">
        <v>0</v>
      </c>
      <c r="H23" s="218"/>
      <c r="I23" s="218">
        <v>163</v>
      </c>
    </row>
    <row r="24" spans="1:9" s="237" customFormat="1" ht="13.75" hidden="1" customHeight="1" thickBot="1" x14ac:dyDescent="0.4">
      <c r="A24" s="243"/>
      <c r="B24" s="221" t="s">
        <v>1233</v>
      </c>
      <c r="F24" s="245"/>
      <c r="G24" s="290">
        <f>SUM(G20:G23)</f>
        <v>29850.256999999998</v>
      </c>
      <c r="H24" s="218"/>
      <c r="I24" s="290">
        <f>SUM(I20:I23)</f>
        <v>28483</v>
      </c>
    </row>
    <row r="25" spans="1:9" s="237" customFormat="1" ht="13.75" hidden="1" customHeight="1" thickTop="1" x14ac:dyDescent="0.35">
      <c r="A25" s="243"/>
      <c r="B25" s="245"/>
      <c r="F25" s="245"/>
      <c r="G25" s="245"/>
      <c r="H25" s="245"/>
      <c r="I25" s="245"/>
    </row>
    <row r="26" spans="1:9" s="237" customFormat="1" ht="13.75" hidden="1" customHeight="1" x14ac:dyDescent="0.35">
      <c r="A26" s="243"/>
      <c r="B26" s="216" t="s">
        <v>1234</v>
      </c>
      <c r="F26" s="245"/>
      <c r="G26" s="218">
        <v>29850</v>
      </c>
      <c r="H26" s="218"/>
      <c r="I26" s="218">
        <v>28483</v>
      </c>
    </row>
    <row r="27" spans="1:9" s="237" customFormat="1" ht="13.75" hidden="1" customHeight="1" thickBot="1" x14ac:dyDescent="0.4">
      <c r="A27" s="243"/>
      <c r="B27" s="255" t="s">
        <v>1235</v>
      </c>
      <c r="F27" s="218"/>
      <c r="G27" s="290">
        <f>G26-G24</f>
        <v>-0.25699999999778811</v>
      </c>
      <c r="H27" s="218"/>
      <c r="I27" s="290">
        <f>I26-I24</f>
        <v>0</v>
      </c>
    </row>
    <row r="28" spans="1:9" s="237" customFormat="1" ht="13.75" hidden="1" customHeight="1" thickTop="1" x14ac:dyDescent="0.35">
      <c r="A28" s="243"/>
      <c r="B28" s="245"/>
      <c r="C28" s="245"/>
      <c r="D28" s="245"/>
      <c r="E28" s="245"/>
      <c r="F28" s="245"/>
      <c r="G28" s="245"/>
      <c r="H28" s="245"/>
    </row>
    <row r="29" spans="1:9" s="237" customFormat="1" ht="13.75" hidden="1" customHeight="1" x14ac:dyDescent="0.35">
      <c r="A29" s="243">
        <f>ROUNDDOWN(A17,0)+1</f>
        <v>39</v>
      </c>
      <c r="B29" s="221" t="str">
        <f>"Note "&amp;A29&amp;" Breakeven duty financial performance "</f>
        <v xml:space="preserve">Note 39 Breakeven duty financial performance </v>
      </c>
      <c r="C29" s="245"/>
      <c r="D29" s="245"/>
      <c r="E29" s="245"/>
      <c r="F29" s="245"/>
      <c r="G29" s="245"/>
      <c r="H29" s="245"/>
    </row>
    <row r="30" spans="1:9" s="237" customFormat="1" ht="13.75" hidden="1" customHeight="1" x14ac:dyDescent="0.35">
      <c r="A30" s="243"/>
      <c r="B30" s="245"/>
      <c r="D30" s="266"/>
      <c r="E30" s="245"/>
      <c r="F30" s="266" t="str">
        <f>CurrentFY</f>
        <v>2024/25</v>
      </c>
      <c r="G30" s="245"/>
      <c r="H30" s="245"/>
    </row>
    <row r="31" spans="1:9" s="237" customFormat="1" ht="13.75" hidden="1" customHeight="1" x14ac:dyDescent="0.35">
      <c r="B31" s="245"/>
      <c r="D31" s="266"/>
      <c r="F31" s="266" t="s">
        <v>542</v>
      </c>
    </row>
    <row r="32" spans="1:9" s="237" customFormat="1" ht="13.75" hidden="1" customHeight="1" x14ac:dyDescent="0.35">
      <c r="B32" s="224" t="s">
        <v>1236</v>
      </c>
      <c r="D32" s="218"/>
      <c r="F32" s="218">
        <v>6288</v>
      </c>
    </row>
    <row r="33" spans="1:11" s="237" customFormat="1" ht="13.75" hidden="1" customHeight="1" x14ac:dyDescent="0.35">
      <c r="B33" s="224" t="s">
        <v>1237</v>
      </c>
      <c r="D33" s="218"/>
      <c r="F33" s="218">
        <v>0</v>
      </c>
    </row>
    <row r="34" spans="1:11" s="237" customFormat="1" ht="13.75" hidden="1" customHeight="1" x14ac:dyDescent="0.35">
      <c r="B34" s="224" t="s">
        <v>1238</v>
      </c>
      <c r="D34" s="218"/>
      <c r="F34" s="218">
        <v>0</v>
      </c>
    </row>
    <row r="35" spans="1:11" s="237" customFormat="1" ht="13.75" hidden="1" customHeight="1" x14ac:dyDescent="0.35">
      <c r="B35" s="224" t="s">
        <v>1239</v>
      </c>
      <c r="D35" s="218"/>
      <c r="F35" s="218">
        <v>0</v>
      </c>
    </row>
    <row r="36" spans="1:11" s="237" customFormat="1" ht="13.75" hidden="1" customHeight="1" thickBot="1" x14ac:dyDescent="0.4">
      <c r="B36" s="221" t="s">
        <v>1240</v>
      </c>
      <c r="D36" s="218"/>
      <c r="F36" s="290">
        <f>SUM(F32:F35)</f>
        <v>6288</v>
      </c>
    </row>
    <row r="37" spans="1:11" s="237" customFormat="1" ht="15" hidden="1" thickTop="1" x14ac:dyDescent="0.35"/>
    <row r="38" spans="1:11" x14ac:dyDescent="0.35">
      <c r="A38">
        <f>'32-35 RP,CRL&amp;BE'!A115+1</f>
        <v>36</v>
      </c>
      <c r="B38" s="93" t="str">
        <f>"Note "&amp;A38&amp;" Breakeven duty rolling assessment "</f>
        <v xml:space="preserve">Note 36 Breakeven duty rolling assessment </v>
      </c>
    </row>
    <row r="39" spans="1:11" ht="8.25" customHeight="1" x14ac:dyDescent="0.35">
      <c r="B39" s="93"/>
    </row>
    <row r="40" spans="1:11" s="237" customFormat="1" hidden="1" x14ac:dyDescent="0.35">
      <c r="B40" s="358" t="s">
        <v>1242</v>
      </c>
    </row>
    <row r="41" spans="1:11" s="237" customFormat="1" ht="6" hidden="1" customHeight="1" x14ac:dyDescent="0.35"/>
    <row r="42" spans="1:11" ht="24" x14ac:dyDescent="0.35">
      <c r="C42" s="80" t="s">
        <v>1243</v>
      </c>
      <c r="D42" s="80" t="s">
        <v>1244</v>
      </c>
      <c r="E42" s="80" t="s">
        <v>1245</v>
      </c>
      <c r="F42" s="80" t="s">
        <v>1246</v>
      </c>
      <c r="G42" s="80" t="s">
        <v>1247</v>
      </c>
      <c r="H42" s="80" t="s">
        <v>1248</v>
      </c>
      <c r="I42" s="80" t="s">
        <v>1249</v>
      </c>
      <c r="J42" s="80" t="s">
        <v>1254</v>
      </c>
      <c r="K42" s="80" t="s">
        <v>1255</v>
      </c>
    </row>
    <row r="43" spans="1:11" x14ac:dyDescent="0.35">
      <c r="C43" s="80" t="s">
        <v>542</v>
      </c>
      <c r="D43" s="80" t="s">
        <v>542</v>
      </c>
      <c r="E43" s="80" t="s">
        <v>542</v>
      </c>
      <c r="F43" s="80" t="s">
        <v>542</v>
      </c>
      <c r="G43" s="80" t="s">
        <v>542</v>
      </c>
      <c r="H43" s="80" t="s">
        <v>542</v>
      </c>
      <c r="I43" s="80" t="s">
        <v>542</v>
      </c>
      <c r="J43" s="80" t="s">
        <v>542</v>
      </c>
      <c r="K43" s="80" t="s">
        <v>542</v>
      </c>
    </row>
    <row r="44" spans="1:11" x14ac:dyDescent="0.35">
      <c r="B44" s="111" t="s">
        <v>1250</v>
      </c>
      <c r="C44" s="41"/>
      <c r="D44" s="41">
        <v>1041</v>
      </c>
      <c r="E44" s="41">
        <v>2065</v>
      </c>
      <c r="F44" s="41">
        <v>1558</v>
      </c>
      <c r="G44" s="41">
        <v>2707</v>
      </c>
      <c r="H44" s="41">
        <v>2786</v>
      </c>
      <c r="I44" s="41">
        <v>513</v>
      </c>
      <c r="J44" s="41">
        <v>135</v>
      </c>
      <c r="K44" s="41">
        <v>6965</v>
      </c>
    </row>
    <row r="45" spans="1:11" x14ac:dyDescent="0.35">
      <c r="B45" s="111" t="s">
        <v>1251</v>
      </c>
      <c r="C45" s="41">
        <v>3678</v>
      </c>
      <c r="D45" s="41">
        <f t="shared" ref="D45:F45" si="0">C45+D44</f>
        <v>4719</v>
      </c>
      <c r="E45" s="41">
        <f t="shared" si="0"/>
        <v>6784</v>
      </c>
      <c r="F45" s="41">
        <f t="shared" si="0"/>
        <v>8342</v>
      </c>
      <c r="G45" s="41">
        <f>F45+G44</f>
        <v>11049</v>
      </c>
      <c r="H45" s="41">
        <f>H44+G45</f>
        <v>13835</v>
      </c>
      <c r="I45" s="41">
        <f>I44+H45</f>
        <v>14348</v>
      </c>
      <c r="J45" s="41">
        <f>J44+I45</f>
        <v>14483</v>
      </c>
      <c r="K45" s="41">
        <f>K44+J45</f>
        <v>21448</v>
      </c>
    </row>
    <row r="46" spans="1:11" x14ac:dyDescent="0.35">
      <c r="B46" s="111" t="s">
        <v>1252</v>
      </c>
      <c r="C46" s="41"/>
      <c r="D46" s="41">
        <v>242220</v>
      </c>
      <c r="E46" s="41">
        <v>252840</v>
      </c>
      <c r="F46" s="41">
        <v>259176</v>
      </c>
      <c r="G46" s="41">
        <v>261312</v>
      </c>
      <c r="H46" s="41">
        <v>261944</v>
      </c>
      <c r="I46" s="41">
        <v>266952</v>
      </c>
      <c r="J46" s="41">
        <v>282429</v>
      </c>
      <c r="K46" s="41">
        <v>316422</v>
      </c>
    </row>
    <row r="47" spans="1:11" ht="24.5" thickBot="1" x14ac:dyDescent="0.4">
      <c r="B47" s="14" t="s">
        <v>1253</v>
      </c>
      <c r="C47" s="164"/>
      <c r="D47" s="154">
        <f>IFERROR(D45/D46,0)</f>
        <v>1.9482288828337874E-2</v>
      </c>
      <c r="E47" s="154">
        <f t="shared" ref="E47" si="1">IFERROR(E45/E46,0)</f>
        <v>2.6831197595317196E-2</v>
      </c>
      <c r="F47" s="154">
        <f>IFERROR(F45/F46,0)</f>
        <v>3.2186622218106614E-2</v>
      </c>
      <c r="G47" s="154">
        <f>IFERROR(G45/G46,0)</f>
        <v>4.2282788390889052E-2</v>
      </c>
      <c r="H47" s="154">
        <f>IFERROR(H45/H46,0)</f>
        <v>5.2816632562685151E-2</v>
      </c>
      <c r="I47" s="154">
        <f t="shared" ref="I47" si="2">IFERROR(I45/I46,0)</f>
        <v>5.3747490185501512E-2</v>
      </c>
      <c r="J47" s="154">
        <f>IFERROR(J45/J46,0)</f>
        <v>5.1280144744342823E-2</v>
      </c>
      <c r="K47" s="154">
        <f>IFERROR(K45/K46,0)</f>
        <v>6.7782897522928237E-2</v>
      </c>
    </row>
    <row r="48" spans="1:11" ht="15" thickTop="1" x14ac:dyDescent="0.35">
      <c r="B48" s="59"/>
    </row>
    <row r="50" spans="2:11" x14ac:dyDescent="0.35">
      <c r="D50" s="80" t="s">
        <v>1256</v>
      </c>
      <c r="E50" s="80" t="s">
        <v>1257</v>
      </c>
      <c r="F50" s="80" t="s">
        <v>1258</v>
      </c>
      <c r="G50" s="80" t="s">
        <v>1365</v>
      </c>
      <c r="H50" s="80" t="s">
        <v>1453</v>
      </c>
      <c r="I50" s="80" t="s">
        <v>1495</v>
      </c>
      <c r="J50" s="80" t="str">
        <f>ComparativeFY</f>
        <v>2023/24</v>
      </c>
      <c r="K50" s="80" t="str">
        <f>CurrentFY</f>
        <v>2024/25</v>
      </c>
    </row>
    <row r="51" spans="2:11" x14ac:dyDescent="0.35">
      <c r="D51" s="80" t="s">
        <v>542</v>
      </c>
      <c r="E51" s="80" t="s">
        <v>542</v>
      </c>
      <c r="F51" s="80" t="s">
        <v>542</v>
      </c>
      <c r="G51" s="80" t="s">
        <v>542</v>
      </c>
      <c r="H51" s="80" t="s">
        <v>542</v>
      </c>
      <c r="I51" s="80" t="s">
        <v>542</v>
      </c>
      <c r="J51" s="80" t="s">
        <v>542</v>
      </c>
      <c r="K51" s="80" t="s">
        <v>462</v>
      </c>
    </row>
    <row r="52" spans="2:11" x14ac:dyDescent="0.35">
      <c r="B52" s="111" t="s">
        <v>1250</v>
      </c>
      <c r="D52" s="41">
        <v>6031</v>
      </c>
      <c r="E52" s="41">
        <v>5319</v>
      </c>
      <c r="F52" s="41">
        <v>2982</v>
      </c>
      <c r="G52" s="41">
        <v>41</v>
      </c>
      <c r="H52" s="41">
        <v>82</v>
      </c>
      <c r="I52" s="41">
        <v>4866</v>
      </c>
      <c r="J52" s="41">
        <v>5847</v>
      </c>
      <c r="K52" s="41">
        <v>6288</v>
      </c>
    </row>
    <row r="53" spans="2:11" x14ac:dyDescent="0.35">
      <c r="B53" s="111" t="s">
        <v>1251</v>
      </c>
      <c r="D53" s="41">
        <f>K45+D52</f>
        <v>27479</v>
      </c>
      <c r="E53" s="41">
        <f>D53+E52</f>
        <v>32798</v>
      </c>
      <c r="F53" s="41">
        <f>E53+F52</f>
        <v>35780</v>
      </c>
      <c r="G53" s="41">
        <f>G52+F53</f>
        <v>35821</v>
      </c>
      <c r="H53" s="41">
        <f>G53+H52</f>
        <v>35903</v>
      </c>
      <c r="I53" s="41">
        <f t="shared" ref="I53:J53" si="3">H53+I52</f>
        <v>40769</v>
      </c>
      <c r="J53" s="41">
        <f t="shared" si="3"/>
        <v>46616</v>
      </c>
      <c r="K53" s="41">
        <f>K52+J53</f>
        <v>52904</v>
      </c>
    </row>
    <row r="54" spans="2:11" x14ac:dyDescent="0.35">
      <c r="B54" s="111" t="s">
        <v>1252</v>
      </c>
      <c r="D54" s="41">
        <v>327731</v>
      </c>
      <c r="E54" s="41">
        <v>341787</v>
      </c>
      <c r="F54" s="41">
        <v>370582</v>
      </c>
      <c r="G54" s="41">
        <v>440004</v>
      </c>
      <c r="H54" s="41">
        <v>469609</v>
      </c>
      <c r="I54" s="41">
        <v>492694</v>
      </c>
      <c r="J54" s="41">
        <v>511996</v>
      </c>
      <c r="K54" s="41">
        <v>554755</v>
      </c>
    </row>
    <row r="55" spans="2:11" ht="24.5" thickBot="1" x14ac:dyDescent="0.4">
      <c r="B55" s="14" t="s">
        <v>1253</v>
      </c>
      <c r="D55" s="154">
        <f>IFERROR(D53/D54,0)</f>
        <v>8.3846203136108577E-2</v>
      </c>
      <c r="E55" s="154">
        <f>IFERROR(E53/E54,0)</f>
        <v>9.5960349574442563E-2</v>
      </c>
      <c r="F55" s="154">
        <f>IFERROR(F53/F54,0)</f>
        <v>9.6550830855249306E-2</v>
      </c>
      <c r="G55" s="154">
        <f>IFERROR(G53/G54,0)</f>
        <v>8.1410623539785995E-2</v>
      </c>
      <c r="H55" s="154">
        <f t="shared" ref="H55:J55" si="4">IFERROR(H53/H54,0)</f>
        <v>7.6452964061591661E-2</v>
      </c>
      <c r="I55" s="154">
        <f t="shared" si="4"/>
        <v>8.2747100634470883E-2</v>
      </c>
      <c r="J55" s="154">
        <f t="shared" si="4"/>
        <v>9.1047586309268042E-2</v>
      </c>
      <c r="K55" s="154">
        <f>IFERROR(K53/K54,0)</f>
        <v>9.5364620418022364E-2</v>
      </c>
    </row>
    <row r="56" spans="2:11" ht="15" thickTop="1" x14ac:dyDescent="0.35">
      <c r="B56" s="59"/>
    </row>
  </sheetData>
  <mergeCells count="1">
    <mergeCell ref="B14:I15"/>
  </mergeCells>
  <pageMargins left="0.59055118110236227" right="0.59055118110236227" top="0.59055118110236227" bottom="0.59055118110236227" header="0" footer="0"/>
  <pageSetup paperSize="9" orientation="landscape" r:id="rId1"/>
  <headerFooter>
    <oddFooter>Page &amp;P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5">
    <tabColor rgb="FFFFFF99"/>
  </sheetPr>
  <dimension ref="A1:M100"/>
  <sheetViews>
    <sheetView workbookViewId="0"/>
  </sheetViews>
  <sheetFormatPr defaultColWidth="9.1796875" defaultRowHeight="14.15" customHeight="1" x14ac:dyDescent="0.25"/>
  <cols>
    <col min="1" max="1" width="1" style="31" customWidth="1"/>
    <col min="2" max="2" width="41.81640625" style="1" customWidth="1"/>
    <col min="3" max="3" width="10.453125" style="1" customWidth="1"/>
    <col min="4" max="4" width="0.81640625" style="1" customWidth="1"/>
    <col min="5" max="5" width="9.81640625" style="1" customWidth="1"/>
    <col min="6" max="6" width="0.81640625" style="1" customWidth="1"/>
    <col min="7" max="7" width="10.54296875" style="1" customWidth="1"/>
    <col min="8" max="8" width="0.81640625" style="1" customWidth="1"/>
    <col min="9" max="9" width="10.7265625" style="1" customWidth="1"/>
    <col min="10" max="16384" width="9.1796875" style="1"/>
  </cols>
  <sheetData>
    <row r="1" spans="2:13" ht="14.15" customHeight="1" x14ac:dyDescent="0.25">
      <c r="B1" s="496" t="s">
        <v>1259</v>
      </c>
      <c r="C1" s="496"/>
      <c r="D1" s="496"/>
      <c r="E1" s="496"/>
      <c r="F1" s="496"/>
      <c r="G1" s="496"/>
      <c r="H1" s="496"/>
      <c r="I1" s="496"/>
    </row>
    <row r="2" spans="2:13" ht="14.15" customHeight="1" x14ac:dyDescent="0.25">
      <c r="B2" s="496"/>
      <c r="C2" s="496"/>
      <c r="D2" s="496"/>
      <c r="E2" s="496"/>
      <c r="F2" s="496"/>
      <c r="G2" s="496"/>
      <c r="H2" s="496"/>
      <c r="I2" s="496"/>
      <c r="M2" s="100"/>
    </row>
    <row r="3" spans="2:13" ht="14.15" customHeight="1" x14ac:dyDescent="0.25">
      <c r="B3" s="496"/>
      <c r="C3" s="496"/>
      <c r="D3" s="496"/>
      <c r="E3" s="496"/>
      <c r="F3" s="496"/>
      <c r="G3" s="496"/>
      <c r="H3" s="496"/>
      <c r="I3" s="496"/>
    </row>
    <row r="4" spans="2:13" ht="14.15" customHeight="1" x14ac:dyDescent="0.25">
      <c r="B4" s="496"/>
      <c r="C4" s="496"/>
      <c r="D4" s="496"/>
      <c r="E4" s="496"/>
      <c r="F4" s="496"/>
      <c r="G4" s="496"/>
      <c r="H4" s="496"/>
      <c r="I4" s="496"/>
    </row>
    <row r="5" spans="2:13" ht="14.15" customHeight="1" x14ac:dyDescent="0.25">
      <c r="B5" s="95"/>
      <c r="C5" s="95"/>
      <c r="D5" s="95"/>
      <c r="E5" s="95"/>
      <c r="F5" s="95"/>
      <c r="G5" s="95"/>
      <c r="H5" s="95"/>
      <c r="I5" s="95"/>
    </row>
    <row r="6" spans="2:13" ht="14.15" customHeight="1" x14ac:dyDescent="0.25">
      <c r="B6" s="14" t="s">
        <v>1260</v>
      </c>
      <c r="C6" s="45"/>
      <c r="D6" s="45"/>
      <c r="E6" s="45"/>
      <c r="F6" s="45"/>
      <c r="G6" s="45"/>
      <c r="H6" s="45"/>
      <c r="I6" s="45"/>
    </row>
    <row r="7" spans="2:13" ht="14.15" customHeight="1" x14ac:dyDescent="0.25">
      <c r="B7" s="95"/>
      <c r="C7" s="80"/>
      <c r="D7" s="80"/>
      <c r="E7" s="80"/>
      <c r="F7" s="80"/>
      <c r="G7" s="80" t="str">
        <f>CurrentFY</f>
        <v>2024/25</v>
      </c>
      <c r="H7" s="80"/>
      <c r="I7" s="80" t="str">
        <f>ComparativeFY</f>
        <v>2023/24</v>
      </c>
    </row>
    <row r="8" spans="2:13" ht="14.15" customHeight="1" x14ac:dyDescent="0.25">
      <c r="B8" s="95"/>
      <c r="C8" s="80" t="s">
        <v>1261</v>
      </c>
      <c r="D8" s="80"/>
      <c r="E8" s="80" t="s">
        <v>837</v>
      </c>
      <c r="F8" s="80"/>
      <c r="G8" s="80" t="s">
        <v>541</v>
      </c>
      <c r="H8" s="80"/>
      <c r="I8" s="80" t="s">
        <v>541</v>
      </c>
    </row>
    <row r="9" spans="2:13" ht="14.15" customHeight="1" x14ac:dyDescent="0.25">
      <c r="B9" s="95"/>
      <c r="C9" s="80" t="s">
        <v>542</v>
      </c>
      <c r="D9" s="95"/>
      <c r="E9" s="80" t="s">
        <v>542</v>
      </c>
      <c r="F9" s="95"/>
      <c r="G9" s="80" t="s">
        <v>542</v>
      </c>
      <c r="H9" s="95"/>
      <c r="I9" s="80" t="s">
        <v>542</v>
      </c>
    </row>
    <row r="10" spans="2:13" ht="14.15" customHeight="1" x14ac:dyDescent="0.25">
      <c r="B10" s="105" t="s">
        <v>860</v>
      </c>
      <c r="C10" s="41">
        <v>313883</v>
      </c>
      <c r="D10" s="41"/>
      <c r="E10" s="41">
        <v>263</v>
      </c>
      <c r="F10" s="21"/>
      <c r="G10" s="50">
        <f>SUM(C10:E10)</f>
        <v>314146</v>
      </c>
      <c r="H10" s="23"/>
      <c r="I10" s="41">
        <v>284140</v>
      </c>
    </row>
    <row r="11" spans="2:13" ht="14.15" customHeight="1" x14ac:dyDescent="0.25">
      <c r="B11" s="105" t="s">
        <v>861</v>
      </c>
      <c r="C11" s="41">
        <v>32118</v>
      </c>
      <c r="D11" s="41"/>
      <c r="E11" s="41">
        <v>0</v>
      </c>
      <c r="F11" s="21"/>
      <c r="G11" s="50">
        <f t="shared" ref="G11:G18" si="0">SUM(C11:E11)</f>
        <v>32118</v>
      </c>
      <c r="H11" s="23"/>
      <c r="I11" s="41">
        <v>30930</v>
      </c>
    </row>
    <row r="12" spans="2:13" ht="14.15" customHeight="1" x14ac:dyDescent="0.25">
      <c r="B12" s="105" t="s">
        <v>862</v>
      </c>
      <c r="C12" s="41">
        <v>1551</v>
      </c>
      <c r="D12" s="41"/>
      <c r="E12" s="41">
        <v>0</v>
      </c>
      <c r="F12" s="21"/>
      <c r="G12" s="50">
        <f t="shared" si="0"/>
        <v>1551</v>
      </c>
      <c r="H12" s="23"/>
      <c r="I12" s="41">
        <v>1492</v>
      </c>
    </row>
    <row r="13" spans="2:13" ht="14.15" customHeight="1" x14ac:dyDescent="0.25">
      <c r="B13" s="105" t="s">
        <v>1262</v>
      </c>
      <c r="C13" s="41">
        <v>62585</v>
      </c>
      <c r="D13" s="41"/>
      <c r="E13" s="41">
        <v>0</v>
      </c>
      <c r="F13" s="21"/>
      <c r="G13" s="50">
        <f t="shared" si="0"/>
        <v>62585</v>
      </c>
      <c r="H13" s="23"/>
      <c r="I13" s="41">
        <v>50077</v>
      </c>
    </row>
    <row r="14" spans="2:13" ht="14.15" customHeight="1" x14ac:dyDescent="0.25">
      <c r="B14" s="105" t="s">
        <v>864</v>
      </c>
      <c r="C14" s="41">
        <v>0</v>
      </c>
      <c r="D14" s="41"/>
      <c r="E14" s="41">
        <v>0</v>
      </c>
      <c r="F14" s="21"/>
      <c r="G14" s="50">
        <f t="shared" si="0"/>
        <v>0</v>
      </c>
      <c r="H14" s="23"/>
      <c r="I14" s="41">
        <v>0</v>
      </c>
    </row>
    <row r="15" spans="2:13" ht="14.15" customHeight="1" x14ac:dyDescent="0.25">
      <c r="B15" s="105" t="s">
        <v>865</v>
      </c>
      <c r="C15" s="41">
        <v>0</v>
      </c>
      <c r="D15" s="41"/>
      <c r="E15" s="41">
        <v>0</v>
      </c>
      <c r="F15" s="21"/>
      <c r="G15" s="50">
        <f t="shared" si="0"/>
        <v>0</v>
      </c>
      <c r="H15" s="23"/>
      <c r="I15" s="41">
        <v>0</v>
      </c>
    </row>
    <row r="16" spans="2:13" ht="14.15" customHeight="1" x14ac:dyDescent="0.25">
      <c r="B16" s="105" t="s">
        <v>866</v>
      </c>
      <c r="C16" s="41">
        <v>0</v>
      </c>
      <c r="D16" s="41"/>
      <c r="E16" s="41">
        <v>0</v>
      </c>
      <c r="F16" s="21"/>
      <c r="G16" s="50">
        <f t="shared" si="0"/>
        <v>0</v>
      </c>
      <c r="H16" s="23"/>
      <c r="I16" s="41">
        <v>0</v>
      </c>
    </row>
    <row r="17" spans="2:9" ht="14.15" customHeight="1" x14ac:dyDescent="0.25">
      <c r="B17" s="105" t="s">
        <v>867</v>
      </c>
      <c r="C17" s="41">
        <v>0</v>
      </c>
      <c r="D17" s="41"/>
      <c r="E17" s="41">
        <v>0</v>
      </c>
      <c r="F17" s="21"/>
      <c r="G17" s="50">
        <f t="shared" si="0"/>
        <v>0</v>
      </c>
      <c r="H17" s="23"/>
      <c r="I17" s="41">
        <v>0</v>
      </c>
    </row>
    <row r="18" spans="2:9" ht="14.15" customHeight="1" x14ac:dyDescent="0.25">
      <c r="B18" s="105" t="s">
        <v>1263</v>
      </c>
      <c r="C18" s="41">
        <v>0</v>
      </c>
      <c r="D18" s="41"/>
      <c r="E18" s="41">
        <v>392</v>
      </c>
      <c r="F18" s="21"/>
      <c r="G18" s="50">
        <f t="shared" si="0"/>
        <v>392</v>
      </c>
      <c r="H18" s="41"/>
      <c r="I18" s="41">
        <v>1723</v>
      </c>
    </row>
    <row r="19" spans="2:9" ht="14.15" customHeight="1" x14ac:dyDescent="0.35">
      <c r="B19" s="93" t="s">
        <v>869</v>
      </c>
      <c r="C19" s="43">
        <f>SUM(C10:C18)</f>
        <v>410137</v>
      </c>
      <c r="D19"/>
      <c r="E19" s="43">
        <f>SUM(E10:E18)</f>
        <v>655</v>
      </c>
      <c r="F19"/>
      <c r="G19" s="43">
        <f>SUM(G10:G18)</f>
        <v>410792</v>
      </c>
      <c r="H19"/>
      <c r="I19" s="43">
        <f>SUM(I10:I18)</f>
        <v>368362</v>
      </c>
    </row>
    <row r="20" spans="2:9" ht="14.15" customHeight="1" x14ac:dyDescent="0.35">
      <c r="B20" s="105" t="s">
        <v>870</v>
      </c>
      <c r="C20" s="41">
        <v>0</v>
      </c>
      <c r="D20"/>
      <c r="E20" s="41">
        <v>0</v>
      </c>
      <c r="F20"/>
      <c r="G20" s="50">
        <f>SUM(C20:E20)</f>
        <v>0</v>
      </c>
      <c r="H20"/>
      <c r="I20" s="41">
        <v>0</v>
      </c>
    </row>
    <row r="21" spans="2:9" ht="14.15" customHeight="1" thickBot="1" x14ac:dyDescent="0.4">
      <c r="B21" s="93" t="s">
        <v>871</v>
      </c>
      <c r="C21" s="42">
        <f>SUM(C19:C20)</f>
        <v>410137</v>
      </c>
      <c r="D21"/>
      <c r="E21" s="42">
        <f>SUM(E19:E20)</f>
        <v>655</v>
      </c>
      <c r="F21"/>
      <c r="G21" s="42">
        <f>SUM(G19:G20)</f>
        <v>410792</v>
      </c>
      <c r="H21"/>
      <c r="I21" s="42">
        <f>SUM(I19:I20)</f>
        <v>368362</v>
      </c>
    </row>
    <row r="22" spans="2:9" ht="14.15" customHeight="1" thickTop="1" x14ac:dyDescent="0.35">
      <c r="B22" s="93" t="s">
        <v>872</v>
      </c>
      <c r="C22" s="21"/>
      <c r="D22"/>
      <c r="E22" s="21"/>
      <c r="F22"/>
      <c r="G22" s="24"/>
      <c r="H22"/>
      <c r="I22" s="21"/>
    </row>
    <row r="23" spans="2:9" ht="14.15" customHeight="1" x14ac:dyDescent="0.35">
      <c r="B23" s="105" t="s">
        <v>873</v>
      </c>
      <c r="C23" s="41">
        <v>0</v>
      </c>
      <c r="D23"/>
      <c r="E23" s="41">
        <v>0</v>
      </c>
      <c r="F23"/>
      <c r="G23" s="50">
        <f>SUM(C23:E23)</f>
        <v>0</v>
      </c>
      <c r="H23"/>
      <c r="I23" s="41">
        <v>0</v>
      </c>
    </row>
    <row r="24" spans="2:9" ht="14.15" customHeight="1" x14ac:dyDescent="0.25">
      <c r="B24" s="95"/>
      <c r="C24" s="95"/>
      <c r="D24" s="95"/>
      <c r="E24" s="95"/>
      <c r="F24" s="95"/>
      <c r="G24" s="95"/>
      <c r="H24" s="95"/>
      <c r="I24" s="95"/>
    </row>
    <row r="25" spans="2:9" ht="14.15" customHeight="1" x14ac:dyDescent="0.25">
      <c r="B25" s="95"/>
      <c r="C25" s="95"/>
      <c r="D25" s="95"/>
      <c r="E25" s="95"/>
      <c r="F25" s="95"/>
      <c r="G25" s="95"/>
      <c r="H25" s="95"/>
      <c r="I25" s="95"/>
    </row>
    <row r="26" spans="2:9" ht="14.15" customHeight="1" x14ac:dyDescent="0.25">
      <c r="B26" s="14" t="s">
        <v>1264</v>
      </c>
      <c r="C26" s="95"/>
      <c r="D26" s="95"/>
      <c r="E26" s="95"/>
      <c r="F26" s="95"/>
      <c r="G26" s="95"/>
      <c r="H26" s="95"/>
      <c r="I26" s="95"/>
    </row>
    <row r="27" spans="2:9" ht="14.15" customHeight="1" x14ac:dyDescent="0.25">
      <c r="B27" s="16"/>
      <c r="C27" s="423"/>
      <c r="D27" s="80"/>
      <c r="E27" s="423"/>
      <c r="F27" s="80"/>
      <c r="G27" s="423" t="str">
        <f>CurrentFY</f>
        <v>2024/25</v>
      </c>
      <c r="H27" s="80"/>
      <c r="I27" s="423" t="str">
        <f>ComparativeFY</f>
        <v>2023/24</v>
      </c>
    </row>
    <row r="28" spans="2:9" ht="14.15" customHeight="1" x14ac:dyDescent="0.25">
      <c r="C28" s="423" t="s">
        <v>1261</v>
      </c>
      <c r="D28" s="80"/>
      <c r="E28" s="423" t="s">
        <v>837</v>
      </c>
      <c r="F28" s="80"/>
      <c r="G28" s="423" t="s">
        <v>541</v>
      </c>
      <c r="H28" s="80"/>
      <c r="I28" s="423" t="s">
        <v>541</v>
      </c>
    </row>
    <row r="29" spans="2:9" ht="14.15" customHeight="1" x14ac:dyDescent="0.25">
      <c r="C29" s="423" t="s">
        <v>1221</v>
      </c>
      <c r="D29" s="80"/>
      <c r="E29" s="423" t="s">
        <v>1221</v>
      </c>
      <c r="F29" s="80"/>
      <c r="G29" s="423" t="s">
        <v>1221</v>
      </c>
      <c r="H29" s="80"/>
      <c r="I29" s="423" t="s">
        <v>1221</v>
      </c>
    </row>
    <row r="30" spans="2:9" ht="14.15" customHeight="1" x14ac:dyDescent="0.25">
      <c r="B30" s="105" t="s">
        <v>1265</v>
      </c>
      <c r="C30" s="41">
        <v>2.1666666666666665</v>
      </c>
      <c r="D30" s="41"/>
      <c r="E30" s="41">
        <v>0</v>
      </c>
      <c r="F30" s="117"/>
      <c r="G30" s="50">
        <f>SUM(C30:E30)</f>
        <v>2.1666666666666665</v>
      </c>
      <c r="H30" s="118"/>
      <c r="I30" s="41">
        <v>4</v>
      </c>
    </row>
    <row r="31" spans="2:9" ht="14.15" customHeight="1" x14ac:dyDescent="0.25">
      <c r="B31" s="105" t="s">
        <v>1266</v>
      </c>
      <c r="C31" s="41">
        <v>6187.205833333328</v>
      </c>
      <c r="D31" s="41"/>
      <c r="E31" s="41">
        <v>0</v>
      </c>
      <c r="F31" s="117"/>
      <c r="G31" s="50">
        <f t="shared" ref="G31:G38" si="1">SUM(C31:E31)</f>
        <v>6187.205833333328</v>
      </c>
      <c r="H31" s="118"/>
      <c r="I31" s="41">
        <v>5978</v>
      </c>
    </row>
    <row r="32" spans="2:9" ht="14.15" customHeight="1" x14ac:dyDescent="0.25">
      <c r="B32" s="105" t="s">
        <v>1267</v>
      </c>
      <c r="C32" s="41">
        <v>676</v>
      </c>
      <c r="D32" s="41"/>
      <c r="E32" s="41">
        <v>3</v>
      </c>
      <c r="F32" s="117"/>
      <c r="G32" s="50">
        <f t="shared" si="1"/>
        <v>679</v>
      </c>
      <c r="H32" s="118"/>
      <c r="I32" s="41">
        <v>665.95757000000003</v>
      </c>
    </row>
    <row r="33" spans="1:9" ht="14.15" customHeight="1" x14ac:dyDescent="0.25">
      <c r="B33" s="105" t="s">
        <v>1268</v>
      </c>
      <c r="C33" s="41">
        <v>96.981666666666655</v>
      </c>
      <c r="D33" s="41"/>
      <c r="E33" s="41">
        <v>0</v>
      </c>
      <c r="F33" s="117"/>
      <c r="G33" s="50">
        <f t="shared" si="1"/>
        <v>96.981666666666655</v>
      </c>
      <c r="H33" s="118"/>
      <c r="I33" s="41">
        <v>120.27951</v>
      </c>
    </row>
    <row r="34" spans="1:9" ht="14.15" customHeight="1" x14ac:dyDescent="0.25">
      <c r="B34" s="105" t="s">
        <v>1269</v>
      </c>
      <c r="C34" s="41">
        <v>122.55916666666661</v>
      </c>
      <c r="D34" s="41"/>
      <c r="E34" s="41">
        <v>5</v>
      </c>
      <c r="F34" s="117"/>
      <c r="G34" s="50">
        <f t="shared" si="1"/>
        <v>127.55916666666661</v>
      </c>
      <c r="H34" s="118"/>
      <c r="I34" s="41">
        <v>120.18640000000001</v>
      </c>
    </row>
    <row r="35" spans="1:9" ht="14.15" customHeight="1" x14ac:dyDescent="0.25">
      <c r="B35" s="105" t="s">
        <v>1270</v>
      </c>
      <c r="C35" s="41">
        <v>0</v>
      </c>
      <c r="D35" s="41"/>
      <c r="E35" s="41">
        <v>0</v>
      </c>
      <c r="F35" s="117"/>
      <c r="G35" s="50">
        <f t="shared" si="1"/>
        <v>0</v>
      </c>
      <c r="H35" s="118"/>
      <c r="I35" s="41">
        <v>0</v>
      </c>
    </row>
    <row r="36" spans="1:9" ht="14.15" customHeight="1" x14ac:dyDescent="0.25">
      <c r="B36" s="105" t="s">
        <v>1271</v>
      </c>
      <c r="C36" s="41">
        <v>5</v>
      </c>
      <c r="D36" s="41"/>
      <c r="E36" s="41">
        <v>0</v>
      </c>
      <c r="F36" s="117"/>
      <c r="G36" s="50">
        <f t="shared" si="1"/>
        <v>5</v>
      </c>
      <c r="H36" s="118"/>
      <c r="I36" s="41">
        <v>2</v>
      </c>
    </row>
    <row r="37" spans="1:9" ht="14.15" customHeight="1" x14ac:dyDescent="0.25">
      <c r="B37" s="105" t="s">
        <v>1272</v>
      </c>
      <c r="C37" s="41">
        <v>0</v>
      </c>
      <c r="D37" s="41"/>
      <c r="E37" s="41">
        <v>0</v>
      </c>
      <c r="F37" s="117"/>
      <c r="G37" s="50">
        <f t="shared" si="1"/>
        <v>0</v>
      </c>
      <c r="H37" s="118"/>
      <c r="I37" s="41">
        <v>0</v>
      </c>
    </row>
    <row r="38" spans="1:9" ht="14.15" customHeight="1" x14ac:dyDescent="0.25">
      <c r="B38" s="105" t="s">
        <v>1273</v>
      </c>
      <c r="C38" s="41">
        <v>0</v>
      </c>
      <c r="D38" s="41"/>
      <c r="E38" s="41">
        <v>0</v>
      </c>
      <c r="F38" s="117"/>
      <c r="G38" s="50">
        <f t="shared" si="1"/>
        <v>0</v>
      </c>
      <c r="H38" s="118"/>
      <c r="I38" s="41">
        <v>0</v>
      </c>
    </row>
    <row r="39" spans="1:9" ht="14.15" customHeight="1" x14ac:dyDescent="0.25">
      <c r="B39" s="105" t="s">
        <v>837</v>
      </c>
      <c r="C39" s="41">
        <v>0</v>
      </c>
      <c r="D39" s="41"/>
      <c r="E39" s="41">
        <v>0</v>
      </c>
      <c r="F39" s="41"/>
      <c r="G39" s="50">
        <f>SUM(C39:E39)</f>
        <v>0</v>
      </c>
      <c r="H39" s="118"/>
      <c r="I39" s="41">
        <v>0</v>
      </c>
    </row>
    <row r="40" spans="1:9" ht="14.15" customHeight="1" thickBot="1" x14ac:dyDescent="0.4">
      <c r="A40" s="1"/>
      <c r="B40" s="93" t="s">
        <v>1274</v>
      </c>
      <c r="C40" s="42">
        <f>SUM(C30:C39)</f>
        <v>7089.9133333333284</v>
      </c>
      <c r="D40" s="41"/>
      <c r="E40" s="42">
        <f>SUM(E30:E39)</f>
        <v>8</v>
      </c>
      <c r="F40" s="41"/>
      <c r="G40" s="42">
        <f>SUM(G30:G39)</f>
        <v>7097.9133333333284</v>
      </c>
      <c r="H40"/>
      <c r="I40" s="42">
        <f>SUM(I30:I39)</f>
        <v>6890.4234800000004</v>
      </c>
    </row>
    <row r="41" spans="1:9" ht="14.15" customHeight="1" thickTop="1" x14ac:dyDescent="0.25">
      <c r="B41" s="93" t="s">
        <v>771</v>
      </c>
      <c r="C41" s="17"/>
      <c r="D41" s="17"/>
      <c r="E41" s="17"/>
      <c r="F41" s="17"/>
      <c r="G41" s="17"/>
      <c r="H41" s="17"/>
      <c r="I41" s="17"/>
    </row>
    <row r="42" spans="1:9" ht="26.5" customHeight="1" x14ac:dyDescent="0.25">
      <c r="B42" s="105" t="s">
        <v>1275</v>
      </c>
      <c r="C42" s="41">
        <v>0</v>
      </c>
      <c r="D42" s="41"/>
      <c r="E42" s="41">
        <v>0</v>
      </c>
      <c r="F42" s="117"/>
      <c r="G42" s="50">
        <f>SUM(C42:E42)</f>
        <v>0</v>
      </c>
      <c r="H42" s="118"/>
      <c r="I42" s="41">
        <v>0</v>
      </c>
    </row>
    <row r="43" spans="1:9" ht="14.15" customHeight="1" x14ac:dyDescent="0.25">
      <c r="C43" s="41"/>
      <c r="D43" s="41"/>
      <c r="E43" s="41"/>
      <c r="F43" s="117"/>
      <c r="G43" s="50"/>
      <c r="H43" s="118"/>
      <c r="I43" s="41"/>
    </row>
    <row r="44" spans="1:9" ht="14.15" customHeight="1" x14ac:dyDescent="0.25">
      <c r="H44" s="17"/>
      <c r="I44" s="17"/>
    </row>
    <row r="45" spans="1:9" ht="14.15" customHeight="1" x14ac:dyDescent="0.25">
      <c r="B45" s="93" t="str">
        <f>"Reporting of compensation schemes - exit packages " &amp; CurrentFY</f>
        <v>Reporting of compensation schemes - exit packages 2024/25</v>
      </c>
      <c r="C45" s="93"/>
      <c r="D45" s="93"/>
      <c r="E45" s="93"/>
      <c r="F45" s="93"/>
      <c r="G45" s="93"/>
      <c r="H45" s="93"/>
    </row>
    <row r="46" spans="1:9" ht="14.15" customHeight="1" x14ac:dyDescent="0.25">
      <c r="B46" s="497" t="s">
        <v>1276</v>
      </c>
      <c r="C46" s="497"/>
      <c r="D46" s="497"/>
      <c r="E46" s="497"/>
      <c r="F46" s="497"/>
      <c r="G46" s="497"/>
      <c r="H46" s="497"/>
      <c r="I46" s="497"/>
    </row>
    <row r="47" spans="1:9" ht="48.25" customHeight="1" x14ac:dyDescent="0.25">
      <c r="B47" s="14"/>
      <c r="C47" s="498" t="s">
        <v>1277</v>
      </c>
      <c r="D47" s="498"/>
      <c r="E47" s="498"/>
      <c r="G47" s="80" t="s">
        <v>1278</v>
      </c>
      <c r="I47" s="80" t="s">
        <v>1279</v>
      </c>
    </row>
    <row r="48" spans="1:9" ht="14.15" customHeight="1" x14ac:dyDescent="0.35">
      <c r="B48"/>
      <c r="C48" s="80"/>
      <c r="E48" s="80" t="s">
        <v>1221</v>
      </c>
      <c r="G48" s="80" t="s">
        <v>1221</v>
      </c>
      <c r="I48" s="80" t="s">
        <v>1221</v>
      </c>
    </row>
    <row r="49" spans="2:9" ht="14.15" customHeight="1" x14ac:dyDescent="0.35">
      <c r="B49" s="93" t="s">
        <v>1280</v>
      </c>
      <c r="E49" s="119"/>
      <c r="G49" s="119"/>
      <c r="I49" s="119"/>
    </row>
    <row r="50" spans="2:9" ht="14.15" customHeight="1" x14ac:dyDescent="0.25">
      <c r="B50" s="1" t="s">
        <v>1281</v>
      </c>
      <c r="E50" s="41">
        <v>0</v>
      </c>
      <c r="G50" s="41">
        <v>0</v>
      </c>
      <c r="I50" s="50">
        <f>E50+G50</f>
        <v>0</v>
      </c>
    </row>
    <row r="51" spans="2:9" ht="14.15" customHeight="1" x14ac:dyDescent="0.25">
      <c r="B51" s="1" t="s">
        <v>1282</v>
      </c>
      <c r="E51" s="41">
        <v>0</v>
      </c>
      <c r="G51" s="41">
        <v>0</v>
      </c>
      <c r="I51" s="50">
        <f t="shared" ref="I51:I56" si="2">E51+G51</f>
        <v>0</v>
      </c>
    </row>
    <row r="52" spans="2:9" ht="14.15" customHeight="1" x14ac:dyDescent="0.25">
      <c r="B52" s="1" t="s">
        <v>1283</v>
      </c>
      <c r="E52" s="41">
        <v>0</v>
      </c>
      <c r="G52" s="41">
        <v>0</v>
      </c>
      <c r="I52" s="50">
        <f t="shared" si="2"/>
        <v>0</v>
      </c>
    </row>
    <row r="53" spans="2:9" ht="14.15" customHeight="1" x14ac:dyDescent="0.25">
      <c r="B53" s="1" t="s">
        <v>1284</v>
      </c>
      <c r="E53" s="41">
        <v>0</v>
      </c>
      <c r="G53" s="41">
        <v>0</v>
      </c>
      <c r="I53" s="50">
        <f t="shared" si="2"/>
        <v>0</v>
      </c>
    </row>
    <row r="54" spans="2:9" ht="14.15" customHeight="1" x14ac:dyDescent="0.25">
      <c r="B54" s="1" t="s">
        <v>1285</v>
      </c>
      <c r="E54" s="41">
        <v>0</v>
      </c>
      <c r="G54" s="41">
        <v>0</v>
      </c>
      <c r="I54" s="50">
        <f t="shared" si="2"/>
        <v>0</v>
      </c>
    </row>
    <row r="55" spans="2:9" ht="14.15" customHeight="1" x14ac:dyDescent="0.25">
      <c r="B55" s="1" t="s">
        <v>1286</v>
      </c>
      <c r="E55" s="41">
        <v>0</v>
      </c>
      <c r="G55" s="41">
        <v>0</v>
      </c>
      <c r="I55" s="50">
        <f t="shared" si="2"/>
        <v>0</v>
      </c>
    </row>
    <row r="56" spans="2:9" ht="14.15" customHeight="1" x14ac:dyDescent="0.25">
      <c r="B56" s="1" t="s">
        <v>1287</v>
      </c>
      <c r="E56" s="41">
        <v>0</v>
      </c>
      <c r="G56" s="41">
        <v>0</v>
      </c>
      <c r="I56" s="50">
        <f t="shared" si="2"/>
        <v>0</v>
      </c>
    </row>
    <row r="57" spans="2:9" ht="14.15" customHeight="1" thickBot="1" x14ac:dyDescent="0.3">
      <c r="B57" s="93" t="s">
        <v>1288</v>
      </c>
      <c r="E57" s="42">
        <f>SUM(E50:E56)</f>
        <v>0</v>
      </c>
      <c r="G57" s="42">
        <f>SUM(G50:G56)</f>
        <v>0</v>
      </c>
      <c r="I57" s="42">
        <f>SUM(I50:I56)</f>
        <v>0</v>
      </c>
    </row>
    <row r="58" spans="2:9" ht="14.15" customHeight="1" thickTop="1" x14ac:dyDescent="0.25">
      <c r="B58" s="1" t="s">
        <v>1289</v>
      </c>
      <c r="E58" s="41" t="s">
        <v>1744</v>
      </c>
      <c r="G58" s="41" t="s">
        <v>1744</v>
      </c>
      <c r="I58" s="50" t="str">
        <f>DOLLAR(E58+G58,0)</f>
        <v>£0</v>
      </c>
    </row>
    <row r="59" spans="2:9" ht="14.15" customHeight="1" x14ac:dyDescent="0.25">
      <c r="D59" s="120"/>
      <c r="G59" s="120"/>
      <c r="I59" s="120"/>
    </row>
    <row r="61" spans="2:9" ht="14.15" customHeight="1" x14ac:dyDescent="0.35">
      <c r="B61" s="93" t="str">
        <f>"Reporting of compensation schemes - exit packages " &amp; ComparativeFY</f>
        <v>Reporting of compensation schemes - exit packages 2023/24</v>
      </c>
      <c r="D61"/>
      <c r="F61"/>
      <c r="G61"/>
      <c r="I61"/>
    </row>
    <row r="62" spans="2:9" ht="14.15" customHeight="1" x14ac:dyDescent="0.25">
      <c r="B62" s="497" t="s">
        <v>1290</v>
      </c>
      <c r="C62" s="497"/>
      <c r="D62" s="497"/>
      <c r="E62" s="497"/>
      <c r="F62" s="497"/>
      <c r="G62" s="497"/>
      <c r="H62" s="497"/>
      <c r="I62" s="497"/>
    </row>
    <row r="63" spans="2:9" ht="46.15" customHeight="1" x14ac:dyDescent="0.25">
      <c r="B63" s="14"/>
      <c r="C63" s="498" t="s">
        <v>1291</v>
      </c>
      <c r="D63" s="498"/>
      <c r="E63" s="498"/>
      <c r="G63" s="80" t="s">
        <v>1278</v>
      </c>
      <c r="H63" s="80"/>
      <c r="I63" s="80" t="s">
        <v>1279</v>
      </c>
    </row>
    <row r="64" spans="2:9" ht="14.15" customHeight="1" x14ac:dyDescent="0.35">
      <c r="B64"/>
      <c r="C64" s="80"/>
      <c r="E64" s="80" t="s">
        <v>1221</v>
      </c>
      <c r="F64" s="80"/>
      <c r="G64" s="80" t="s">
        <v>1221</v>
      </c>
      <c r="H64" s="80"/>
      <c r="I64" s="80" t="s">
        <v>1221</v>
      </c>
    </row>
    <row r="65" spans="2:9" ht="14.15" customHeight="1" x14ac:dyDescent="0.25">
      <c r="B65" s="93" t="s">
        <v>1280</v>
      </c>
      <c r="E65" s="118"/>
      <c r="G65" s="118"/>
      <c r="H65" s="118"/>
      <c r="I65" s="118"/>
    </row>
    <row r="66" spans="2:9" ht="14.15" customHeight="1" x14ac:dyDescent="0.25">
      <c r="B66" s="1" t="s">
        <v>1281</v>
      </c>
      <c r="E66" s="41">
        <v>0</v>
      </c>
      <c r="F66" s="41"/>
      <c r="G66" s="41">
        <v>0</v>
      </c>
      <c r="H66" s="117"/>
      <c r="I66" s="50">
        <f t="shared" ref="I66:I72" si="3">E66+G66</f>
        <v>0</v>
      </c>
    </row>
    <row r="67" spans="2:9" ht="14.15" customHeight="1" x14ac:dyDescent="0.25">
      <c r="B67" s="1" t="s">
        <v>1282</v>
      </c>
      <c r="E67" s="41">
        <v>0</v>
      </c>
      <c r="F67" s="41"/>
      <c r="G67" s="41">
        <v>0</v>
      </c>
      <c r="H67" s="117"/>
      <c r="I67" s="50">
        <f t="shared" si="3"/>
        <v>0</v>
      </c>
    </row>
    <row r="68" spans="2:9" ht="14.15" customHeight="1" x14ac:dyDescent="0.25">
      <c r="B68" s="1" t="s">
        <v>1283</v>
      </c>
      <c r="E68" s="41">
        <v>0</v>
      </c>
      <c r="F68" s="41"/>
      <c r="G68" s="41">
        <v>0</v>
      </c>
      <c r="H68" s="117"/>
      <c r="I68" s="50">
        <f t="shared" si="3"/>
        <v>0</v>
      </c>
    </row>
    <row r="69" spans="2:9" ht="14.15" customHeight="1" x14ac:dyDescent="0.25">
      <c r="B69" s="1" t="s">
        <v>1284</v>
      </c>
      <c r="E69" s="41">
        <v>0</v>
      </c>
      <c r="F69" s="41"/>
      <c r="G69" s="41">
        <v>0</v>
      </c>
      <c r="H69" s="117"/>
      <c r="I69" s="50">
        <f t="shared" si="3"/>
        <v>0</v>
      </c>
    </row>
    <row r="70" spans="2:9" ht="14.15" customHeight="1" x14ac:dyDescent="0.25">
      <c r="B70" s="1" t="s">
        <v>1285</v>
      </c>
      <c r="E70" s="41">
        <v>0</v>
      </c>
      <c r="F70" s="41"/>
      <c r="G70" s="41">
        <v>0</v>
      </c>
      <c r="H70" s="117"/>
      <c r="I70" s="50">
        <f t="shared" si="3"/>
        <v>0</v>
      </c>
    </row>
    <row r="71" spans="2:9" ht="14.15" customHeight="1" x14ac:dyDescent="0.25">
      <c r="B71" s="1" t="s">
        <v>1286</v>
      </c>
      <c r="E71" s="41">
        <v>0</v>
      </c>
      <c r="F71" s="41"/>
      <c r="G71" s="41">
        <v>0</v>
      </c>
      <c r="H71" s="117"/>
      <c r="I71" s="50">
        <f t="shared" si="3"/>
        <v>0</v>
      </c>
    </row>
    <row r="72" spans="2:9" ht="14.15" customHeight="1" x14ac:dyDescent="0.25">
      <c r="B72" s="1" t="s">
        <v>1287</v>
      </c>
      <c r="E72" s="41">
        <v>0</v>
      </c>
      <c r="F72" s="41"/>
      <c r="G72" s="41">
        <v>0</v>
      </c>
      <c r="H72" s="117"/>
      <c r="I72" s="50">
        <f t="shared" si="3"/>
        <v>0</v>
      </c>
    </row>
    <row r="73" spans="2:9" ht="14.15" customHeight="1" thickBot="1" x14ac:dyDescent="0.3">
      <c r="B73" s="93" t="s">
        <v>1288</v>
      </c>
      <c r="E73" s="42">
        <f>SUM(E66:E72)</f>
        <v>0</v>
      </c>
      <c r="F73" s="41"/>
      <c r="G73" s="42">
        <f>SUM(G66:G72)</f>
        <v>0</v>
      </c>
      <c r="H73" s="117"/>
      <c r="I73" s="42">
        <f>SUM(I66:I72)</f>
        <v>0</v>
      </c>
    </row>
    <row r="74" spans="2:9" ht="14.15" customHeight="1" thickTop="1" x14ac:dyDescent="0.25">
      <c r="B74" s="1" t="s">
        <v>1292</v>
      </c>
      <c r="E74" s="41" t="s">
        <v>1744</v>
      </c>
      <c r="F74" s="41"/>
      <c r="G74" s="41" t="s">
        <v>1744</v>
      </c>
      <c r="H74" s="117"/>
      <c r="I74" s="50" t="str">
        <f>DOLLAR(E74+G74,0)</f>
        <v>£0</v>
      </c>
    </row>
    <row r="75" spans="2:9" ht="14.15" customHeight="1" x14ac:dyDescent="0.25">
      <c r="H75" s="117"/>
    </row>
    <row r="77" spans="2:9" ht="14.15" customHeight="1" x14ac:dyDescent="0.25">
      <c r="B77" s="93" t="s">
        <v>1293</v>
      </c>
      <c r="C77" s="16"/>
    </row>
    <row r="78" spans="2:9" ht="14.15" customHeight="1" x14ac:dyDescent="0.25">
      <c r="B78" s="93"/>
      <c r="C78" s="16"/>
    </row>
    <row r="79" spans="2:9" ht="14.15" customHeight="1" x14ac:dyDescent="0.25">
      <c r="C79" s="455" t="str">
        <f>CurrentFY</f>
        <v>2024/25</v>
      </c>
      <c r="D79" s="455"/>
      <c r="E79" s="455"/>
      <c r="G79" s="455" t="str">
        <f>ComparativeFY</f>
        <v>2023/24</v>
      </c>
      <c r="H79" s="455"/>
      <c r="I79" s="455"/>
    </row>
    <row r="80" spans="2:9" ht="48.75" customHeight="1" x14ac:dyDescent="0.25">
      <c r="C80" s="80" t="s">
        <v>1294</v>
      </c>
      <c r="D80" s="498" t="s">
        <v>1295</v>
      </c>
      <c r="E80" s="498"/>
      <c r="G80" s="80" t="s">
        <v>1294</v>
      </c>
      <c r="H80" s="498" t="s">
        <v>1295</v>
      </c>
      <c r="I80" s="498"/>
    </row>
    <row r="81" spans="2:9" ht="14.15" customHeight="1" x14ac:dyDescent="0.25">
      <c r="B81" s="14"/>
      <c r="C81" s="80" t="s">
        <v>1221</v>
      </c>
      <c r="E81" s="80" t="s">
        <v>542</v>
      </c>
      <c r="G81" s="80" t="s">
        <v>1221</v>
      </c>
      <c r="I81" s="80" t="s">
        <v>542</v>
      </c>
    </row>
    <row r="82" spans="2:9" ht="23" x14ac:dyDescent="0.25">
      <c r="B82" s="105" t="s">
        <v>1296</v>
      </c>
      <c r="C82" s="41">
        <v>0</v>
      </c>
      <c r="E82" s="41">
        <v>0</v>
      </c>
      <c r="G82" s="41">
        <v>0</v>
      </c>
      <c r="I82" s="41">
        <v>0</v>
      </c>
    </row>
    <row r="83" spans="2:9" ht="23" x14ac:dyDescent="0.25">
      <c r="B83" s="105" t="s">
        <v>1297</v>
      </c>
      <c r="C83" s="41">
        <v>0</v>
      </c>
      <c r="E83" s="41">
        <v>0</v>
      </c>
      <c r="G83" s="41">
        <v>0</v>
      </c>
      <c r="I83" s="41">
        <v>0</v>
      </c>
    </row>
    <row r="84" spans="2:9" ht="23" x14ac:dyDescent="0.25">
      <c r="B84" s="105" t="s">
        <v>1298</v>
      </c>
      <c r="C84" s="41">
        <v>0</v>
      </c>
      <c r="E84" s="41">
        <v>0</v>
      </c>
      <c r="G84" s="41">
        <v>0</v>
      </c>
      <c r="I84" s="41">
        <v>0</v>
      </c>
    </row>
    <row r="85" spans="2:9" ht="14.15" customHeight="1" x14ac:dyDescent="0.25">
      <c r="B85" s="105" t="s">
        <v>1299</v>
      </c>
      <c r="C85" s="41">
        <v>0</v>
      </c>
      <c r="E85" s="41">
        <v>0</v>
      </c>
      <c r="G85" s="41">
        <v>0</v>
      </c>
      <c r="I85" s="41">
        <v>0</v>
      </c>
    </row>
    <row r="86" spans="2:9" ht="23" x14ac:dyDescent="0.25">
      <c r="B86" s="105" t="s">
        <v>1300</v>
      </c>
      <c r="C86" s="41">
        <v>0</v>
      </c>
      <c r="E86" s="41">
        <v>0</v>
      </c>
      <c r="G86" s="41">
        <v>0</v>
      </c>
      <c r="I86" s="41">
        <v>0</v>
      </c>
    </row>
    <row r="87" spans="2:9" ht="14.15" customHeight="1" x14ac:dyDescent="0.25">
      <c r="B87" s="105" t="s">
        <v>1301</v>
      </c>
      <c r="C87" s="41">
        <v>0</v>
      </c>
      <c r="E87" s="41">
        <v>0</v>
      </c>
      <c r="G87" s="41">
        <v>0</v>
      </c>
      <c r="I87" s="41">
        <v>0</v>
      </c>
    </row>
    <row r="88" spans="2:9" ht="14.15" customHeight="1" thickBot="1" x14ac:dyDescent="0.3">
      <c r="B88" s="93" t="s">
        <v>541</v>
      </c>
      <c r="C88" s="42">
        <f>SUM(C82:C87)</f>
        <v>0</v>
      </c>
      <c r="E88" s="42">
        <f>SUM(E82:E87)</f>
        <v>0</v>
      </c>
      <c r="G88" s="42">
        <f>SUM(G82:G87)</f>
        <v>0</v>
      </c>
      <c r="I88" s="42">
        <f>SUM(I82:I87)</f>
        <v>0</v>
      </c>
    </row>
    <row r="89" spans="2:9" ht="14.15" customHeight="1" thickTop="1" x14ac:dyDescent="0.25">
      <c r="B89" s="93" t="s">
        <v>771</v>
      </c>
      <c r="C89" s="117"/>
      <c r="E89" s="117"/>
      <c r="F89" s="117"/>
      <c r="G89" s="117"/>
      <c r="H89" s="117"/>
    </row>
    <row r="90" spans="2:9" ht="34.5" x14ac:dyDescent="0.25">
      <c r="B90" s="105" t="s">
        <v>1302</v>
      </c>
      <c r="C90" s="41">
        <v>0</v>
      </c>
      <c r="E90" s="41">
        <v>0</v>
      </c>
      <c r="G90" s="41">
        <v>0</v>
      </c>
      <c r="I90" s="41">
        <v>0</v>
      </c>
    </row>
    <row r="92" spans="2:9" ht="14.15" customHeight="1" x14ac:dyDescent="0.25">
      <c r="B92" s="495" t="s">
        <v>1312</v>
      </c>
      <c r="C92" s="495"/>
      <c r="D92" s="495"/>
      <c r="E92" s="495"/>
      <c r="F92" s="495"/>
      <c r="G92" s="495"/>
      <c r="H92" s="495"/>
      <c r="I92" s="495"/>
    </row>
    <row r="93" spans="2:9" ht="14.15" customHeight="1" x14ac:dyDescent="0.25">
      <c r="B93" s="495"/>
      <c r="C93" s="495"/>
      <c r="D93" s="495"/>
      <c r="E93" s="495"/>
      <c r="F93" s="495"/>
      <c r="G93" s="495"/>
      <c r="H93" s="495"/>
      <c r="I93" s="495"/>
    </row>
    <row r="94" spans="2:9" ht="14.15" customHeight="1" x14ac:dyDescent="0.25">
      <c r="B94" s="495"/>
      <c r="C94" s="495"/>
      <c r="D94" s="495"/>
      <c r="E94" s="495"/>
      <c r="F94" s="495"/>
      <c r="G94" s="495"/>
      <c r="H94" s="495"/>
      <c r="I94" s="495"/>
    </row>
    <row r="95" spans="2:9" ht="14.15" customHeight="1" x14ac:dyDescent="0.25">
      <c r="B95" s="40"/>
      <c r="C95" s="40"/>
      <c r="D95" s="40"/>
      <c r="E95" s="40"/>
      <c r="F95" s="40"/>
      <c r="G95" s="40"/>
      <c r="H95" s="40"/>
      <c r="I95" s="40"/>
    </row>
    <row r="96" spans="2:9" ht="14.15" customHeight="1" x14ac:dyDescent="0.25">
      <c r="B96" s="40"/>
      <c r="C96" s="40"/>
      <c r="D96" s="40"/>
      <c r="E96" s="40"/>
      <c r="F96" s="40"/>
      <c r="G96" s="40"/>
      <c r="H96" s="40"/>
      <c r="I96" s="40"/>
    </row>
    <row r="97" spans="2:9" ht="14.15" customHeight="1" x14ac:dyDescent="0.25">
      <c r="B97" s="40"/>
      <c r="C97" s="40"/>
      <c r="D97" s="40"/>
      <c r="E97" s="40"/>
      <c r="F97" s="40"/>
      <c r="G97" s="40"/>
      <c r="H97" s="40"/>
      <c r="I97" s="40"/>
    </row>
    <row r="98" spans="2:9" ht="14.15" customHeight="1" x14ac:dyDescent="0.25">
      <c r="B98" s="40"/>
      <c r="C98" s="40"/>
      <c r="D98" s="40"/>
      <c r="E98" s="40"/>
      <c r="F98" s="40"/>
      <c r="G98" s="40"/>
      <c r="H98" s="40"/>
      <c r="I98" s="40"/>
    </row>
    <row r="99" spans="2:9" ht="14.15" customHeight="1" x14ac:dyDescent="0.25">
      <c r="B99" s="40"/>
      <c r="C99" s="40"/>
      <c r="D99" s="40"/>
      <c r="E99" s="40"/>
      <c r="F99" s="40"/>
      <c r="G99" s="40"/>
      <c r="H99" s="40"/>
      <c r="I99" s="40"/>
    </row>
    <row r="100" spans="2:9" ht="14.15" customHeight="1" x14ac:dyDescent="0.25">
      <c r="B100" s="40"/>
      <c r="C100" s="40"/>
      <c r="D100" s="40"/>
      <c r="E100" s="40"/>
      <c r="F100" s="40"/>
      <c r="G100" s="40"/>
      <c r="H100" s="40"/>
      <c r="I100" s="40"/>
    </row>
  </sheetData>
  <mergeCells count="10">
    <mergeCell ref="B92:I94"/>
    <mergeCell ref="B1:I4"/>
    <mergeCell ref="B46:I46"/>
    <mergeCell ref="C47:E47"/>
    <mergeCell ref="D80:E80"/>
    <mergeCell ref="H80:I80"/>
    <mergeCell ref="G79:I79"/>
    <mergeCell ref="C79:E79"/>
    <mergeCell ref="B62:I62"/>
    <mergeCell ref="C63:E63"/>
  </mergeCells>
  <pageMargins left="0.7" right="0.7" top="0.75" bottom="0.75" header="0.3" footer="0.3"/>
  <pageSetup paperSize="9" orientation="portrait" r:id="rId1"/>
  <rowBreaks count="2" manualBreakCount="2">
    <brk id="44" max="16383" man="1"/>
    <brk id="76" max="16383" man="1"/>
  </rowBreaks>
  <ignoredErrors>
    <ignoredError sqref="G19"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B2:C20"/>
  <sheetViews>
    <sheetView workbookViewId="0"/>
  </sheetViews>
  <sheetFormatPr defaultColWidth="9.1796875" defaultRowHeight="12.5" x14ac:dyDescent="0.25"/>
  <cols>
    <col min="1" max="1" width="4.7265625" style="4" customWidth="1"/>
    <col min="2" max="2" width="10.81640625" style="4" customWidth="1"/>
    <col min="3" max="3" width="67.26953125" style="4" customWidth="1"/>
    <col min="4" max="4" width="4.26953125" style="4" customWidth="1"/>
    <col min="5" max="16384" width="9.1796875" style="4"/>
  </cols>
  <sheetData>
    <row r="2" spans="2:3" x14ac:dyDescent="0.25">
      <c r="B2" s="148" t="s">
        <v>453</v>
      </c>
    </row>
    <row r="4" spans="2:3" ht="15" customHeight="1" x14ac:dyDescent="0.3">
      <c r="B4" s="499" t="s">
        <v>454</v>
      </c>
      <c r="C4" s="499"/>
    </row>
    <row r="7" spans="2:3" ht="15" customHeight="1" x14ac:dyDescent="0.3">
      <c r="B7" s="499" t="str">
        <f>SelectedFT</f>
        <v>North West Ambulance Service NHS Trust</v>
      </c>
      <c r="C7" s="499"/>
    </row>
    <row r="11" spans="2:3" ht="40.75" customHeight="1" x14ac:dyDescent="0.25">
      <c r="B11" s="500" t="str">
        <f xml:space="preserve"> "These accounts, for the year ended " &amp; TEXT(CurrentYearEnd, "d mmmm yyyy") &amp; ", have been prepared by " &amp; SelectedFT &amp;" in accordance with paragraphs 24 &amp; 25 of Schedule 7 within the National Health Service Act 2006."</f>
        <v>These accounts, for the year ended 31 March 2025, have been prepared by North West Ambulance Service NHS Trust in accordance with paragraphs 24 &amp; 25 of Schedule 7 within the National Health Service Act 2006.</v>
      </c>
      <c r="C11" s="500"/>
    </row>
    <row r="16" spans="2:3" ht="15" customHeight="1" x14ac:dyDescent="0.3">
      <c r="B16" s="12" t="s">
        <v>455</v>
      </c>
      <c r="C16" s="4" t="s">
        <v>456</v>
      </c>
    </row>
    <row r="18" spans="2:3" ht="13" x14ac:dyDescent="0.3">
      <c r="B18" s="12" t="s">
        <v>457</v>
      </c>
      <c r="C18" s="12"/>
    </row>
    <row r="19" spans="2:3" ht="13" x14ac:dyDescent="0.3">
      <c r="B19" s="12" t="s">
        <v>458</v>
      </c>
      <c r="C19" s="12"/>
    </row>
    <row r="20" spans="2:3" ht="13" x14ac:dyDescent="0.3">
      <c r="B20" s="12" t="s">
        <v>459</v>
      </c>
      <c r="C20" s="12" t="str">
        <f>TEXT(ApprovalDate, "d mmmm yyyy")</f>
        <v>0 January 1900</v>
      </c>
    </row>
  </sheetData>
  <customSheetViews>
    <customSheetView guid="{EDC1BD6E-863A-4FC6-A3A9-F32079F4F0C1}">
      <selection activeCell="B11" sqref="B11"/>
      <pageMargins left="0" right="0" top="0" bottom="0" header="0" footer="0"/>
      <pageSetup paperSize="9" orientation="portrait" verticalDpi="0" r:id="rId1"/>
      <headerFooter>
        <oddHeader>&amp;LINSERT YOUR NHS Foundation Trust&amp;RStatement of accounts 2014/15</oddHeader>
      </headerFooter>
    </customSheetView>
  </customSheetViews>
  <mergeCells count="3">
    <mergeCell ref="B4:C4"/>
    <mergeCell ref="B7:C7"/>
    <mergeCell ref="B11:C11"/>
  </mergeCells>
  <pageMargins left="0" right="0" top="0" bottom="0" header="0" footer="0"/>
  <pageSetup paperSize="9" orientation="portrait" r:id="rId2"/>
  <headerFooter>
    <oddHeader>&amp;LINSERT YOUR NHS Foundation Trust&amp;RStatement of accounts 2014/15</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FF0000"/>
  </sheetPr>
  <dimension ref="A1:H30"/>
  <sheetViews>
    <sheetView workbookViewId="0">
      <selection sqref="A1:H30"/>
    </sheetView>
  </sheetViews>
  <sheetFormatPr defaultRowHeight="14.5" x14ac:dyDescent="0.35"/>
  <cols>
    <col min="1" max="8" width="10.81640625" style="110" customWidth="1"/>
  </cols>
  <sheetData>
    <row r="1" spans="1:8" ht="15" customHeight="1" x14ac:dyDescent="0.35">
      <c r="A1" s="430" t="s">
        <v>1317</v>
      </c>
      <c r="B1" s="430"/>
      <c r="C1" s="430"/>
      <c r="D1" s="430"/>
      <c r="E1" s="430"/>
      <c r="F1" s="430"/>
      <c r="G1" s="430"/>
      <c r="H1" s="430"/>
    </row>
    <row r="2" spans="1:8" x14ac:dyDescent="0.35">
      <c r="A2" s="430"/>
      <c r="B2" s="430"/>
      <c r="C2" s="430"/>
      <c r="D2" s="430"/>
      <c r="E2" s="430"/>
      <c r="F2" s="430"/>
      <c r="G2" s="430"/>
      <c r="H2" s="430"/>
    </row>
    <row r="3" spans="1:8" x14ac:dyDescent="0.35">
      <c r="A3" s="430"/>
      <c r="B3" s="430"/>
      <c r="C3" s="430"/>
      <c r="D3" s="430"/>
      <c r="E3" s="430"/>
      <c r="F3" s="430"/>
      <c r="G3" s="430"/>
      <c r="H3" s="430"/>
    </row>
    <row r="4" spans="1:8" x14ac:dyDescent="0.35">
      <c r="A4" s="430"/>
      <c r="B4" s="430"/>
      <c r="C4" s="430"/>
      <c r="D4" s="430"/>
      <c r="E4" s="430"/>
      <c r="F4" s="430"/>
      <c r="G4" s="430"/>
      <c r="H4" s="430"/>
    </row>
    <row r="5" spans="1:8" x14ac:dyDescent="0.35">
      <c r="A5" s="430"/>
      <c r="B5" s="430"/>
      <c r="C5" s="430"/>
      <c r="D5" s="430"/>
      <c r="E5" s="430"/>
      <c r="F5" s="430"/>
      <c r="G5" s="430"/>
      <c r="H5" s="430"/>
    </row>
    <row r="6" spans="1:8" x14ac:dyDescent="0.35">
      <c r="A6" s="430"/>
      <c r="B6" s="430"/>
      <c r="C6" s="430"/>
      <c r="D6" s="430"/>
      <c r="E6" s="430"/>
      <c r="F6" s="430"/>
      <c r="G6" s="430"/>
      <c r="H6" s="430"/>
    </row>
    <row r="7" spans="1:8" x14ac:dyDescent="0.35">
      <c r="A7" s="430"/>
      <c r="B7" s="430"/>
      <c r="C7" s="430"/>
      <c r="D7" s="430"/>
      <c r="E7" s="430"/>
      <c r="F7" s="430"/>
      <c r="G7" s="430"/>
      <c r="H7" s="430"/>
    </row>
    <row r="8" spans="1:8" x14ac:dyDescent="0.35">
      <c r="A8" s="430"/>
      <c r="B8" s="430"/>
      <c r="C8" s="430"/>
      <c r="D8" s="430"/>
      <c r="E8" s="430"/>
      <c r="F8" s="430"/>
      <c r="G8" s="430"/>
      <c r="H8" s="430"/>
    </row>
    <row r="9" spans="1:8" x14ac:dyDescent="0.35">
      <c r="A9" s="430"/>
      <c r="B9" s="430"/>
      <c r="C9" s="430"/>
      <c r="D9" s="430"/>
      <c r="E9" s="430"/>
      <c r="F9" s="430"/>
      <c r="G9" s="430"/>
      <c r="H9" s="430"/>
    </row>
    <row r="10" spans="1:8" x14ac:dyDescent="0.35">
      <c r="A10" s="430"/>
      <c r="B10" s="430"/>
      <c r="C10" s="430"/>
      <c r="D10" s="430"/>
      <c r="E10" s="430"/>
      <c r="F10" s="430"/>
      <c r="G10" s="430"/>
      <c r="H10" s="430"/>
    </row>
    <row r="11" spans="1:8" x14ac:dyDescent="0.35">
      <c r="A11" s="430"/>
      <c r="B11" s="430"/>
      <c r="C11" s="430"/>
      <c r="D11" s="430"/>
      <c r="E11" s="430"/>
      <c r="F11" s="430"/>
      <c r="G11" s="430"/>
      <c r="H11" s="430"/>
    </row>
    <row r="12" spans="1:8" x14ac:dyDescent="0.35">
      <c r="A12" s="430"/>
      <c r="B12" s="430"/>
      <c r="C12" s="430"/>
      <c r="D12" s="430"/>
      <c r="E12" s="430"/>
      <c r="F12" s="430"/>
      <c r="G12" s="430"/>
      <c r="H12" s="430"/>
    </row>
    <row r="13" spans="1:8" x14ac:dyDescent="0.35">
      <c r="A13" s="430"/>
      <c r="B13" s="430"/>
      <c r="C13" s="430"/>
      <c r="D13" s="430"/>
      <c r="E13" s="430"/>
      <c r="F13" s="430"/>
      <c r="G13" s="430"/>
      <c r="H13" s="430"/>
    </row>
    <row r="14" spans="1:8" x14ac:dyDescent="0.35">
      <c r="A14" s="430"/>
      <c r="B14" s="430"/>
      <c r="C14" s="430"/>
      <c r="D14" s="430"/>
      <c r="E14" s="430"/>
      <c r="F14" s="430"/>
      <c r="G14" s="430"/>
      <c r="H14" s="430"/>
    </row>
    <row r="15" spans="1:8" x14ac:dyDescent="0.35">
      <c r="A15" s="430"/>
      <c r="B15" s="430"/>
      <c r="C15" s="430"/>
      <c r="D15" s="430"/>
      <c r="E15" s="430"/>
      <c r="F15" s="430"/>
      <c r="G15" s="430"/>
      <c r="H15" s="430"/>
    </row>
    <row r="16" spans="1:8" x14ac:dyDescent="0.35">
      <c r="A16" s="430"/>
      <c r="B16" s="430"/>
      <c r="C16" s="430"/>
      <c r="D16" s="430"/>
      <c r="E16" s="430"/>
      <c r="F16" s="430"/>
      <c r="G16" s="430"/>
      <c r="H16" s="430"/>
    </row>
    <row r="17" spans="1:8" x14ac:dyDescent="0.35">
      <c r="A17" s="430"/>
      <c r="B17" s="430"/>
      <c r="C17" s="430"/>
      <c r="D17" s="430"/>
      <c r="E17" s="430"/>
      <c r="F17" s="430"/>
      <c r="G17" s="430"/>
      <c r="H17" s="430"/>
    </row>
    <row r="18" spans="1:8" x14ac:dyDescent="0.35">
      <c r="A18" s="430"/>
      <c r="B18" s="430"/>
      <c r="C18" s="430"/>
      <c r="D18" s="430"/>
      <c r="E18" s="430"/>
      <c r="F18" s="430"/>
      <c r="G18" s="430"/>
      <c r="H18" s="430"/>
    </row>
    <row r="19" spans="1:8" x14ac:dyDescent="0.35">
      <c r="A19" s="430"/>
      <c r="B19" s="430"/>
      <c r="C19" s="430"/>
      <c r="D19" s="430"/>
      <c r="E19" s="430"/>
      <c r="F19" s="430"/>
      <c r="G19" s="430"/>
      <c r="H19" s="430"/>
    </row>
    <row r="20" spans="1:8" x14ac:dyDescent="0.35">
      <c r="A20" s="430"/>
      <c r="B20" s="430"/>
      <c r="C20" s="430"/>
      <c r="D20" s="430"/>
      <c r="E20" s="430"/>
      <c r="F20" s="430"/>
      <c r="G20" s="430"/>
      <c r="H20" s="430"/>
    </row>
    <row r="21" spans="1:8" x14ac:dyDescent="0.35">
      <c r="A21" s="430"/>
      <c r="B21" s="430"/>
      <c r="C21" s="430"/>
      <c r="D21" s="430"/>
      <c r="E21" s="430"/>
      <c r="F21" s="430"/>
      <c r="G21" s="430"/>
      <c r="H21" s="430"/>
    </row>
    <row r="22" spans="1:8" x14ac:dyDescent="0.35">
      <c r="A22" s="430"/>
      <c r="B22" s="430"/>
      <c r="C22" s="430"/>
      <c r="D22" s="430"/>
      <c r="E22" s="430"/>
      <c r="F22" s="430"/>
      <c r="G22" s="430"/>
      <c r="H22" s="430"/>
    </row>
    <row r="23" spans="1:8" x14ac:dyDescent="0.35">
      <c r="A23" s="430"/>
      <c r="B23" s="430"/>
      <c r="C23" s="430"/>
      <c r="D23" s="430"/>
      <c r="E23" s="430"/>
      <c r="F23" s="430"/>
      <c r="G23" s="430"/>
      <c r="H23" s="430"/>
    </row>
    <row r="24" spans="1:8" x14ac:dyDescent="0.35">
      <c r="A24" s="430"/>
      <c r="B24" s="430"/>
      <c r="C24" s="430"/>
      <c r="D24" s="430"/>
      <c r="E24" s="430"/>
      <c r="F24" s="430"/>
      <c r="G24" s="430"/>
      <c r="H24" s="430"/>
    </row>
    <row r="25" spans="1:8" x14ac:dyDescent="0.35">
      <c r="A25" s="430"/>
      <c r="B25" s="430"/>
      <c r="C25" s="430"/>
      <c r="D25" s="430"/>
      <c r="E25" s="430"/>
      <c r="F25" s="430"/>
      <c r="G25" s="430"/>
      <c r="H25" s="430"/>
    </row>
    <row r="26" spans="1:8" x14ac:dyDescent="0.35">
      <c r="A26" s="430"/>
      <c r="B26" s="430"/>
      <c r="C26" s="430"/>
      <c r="D26" s="430"/>
      <c r="E26" s="430"/>
      <c r="F26" s="430"/>
      <c r="G26" s="430"/>
      <c r="H26" s="430"/>
    </row>
    <row r="27" spans="1:8" x14ac:dyDescent="0.35">
      <c r="A27" s="430"/>
      <c r="B27" s="430"/>
      <c r="C27" s="430"/>
      <c r="D27" s="430"/>
      <c r="E27" s="430"/>
      <c r="F27" s="430"/>
      <c r="G27" s="430"/>
      <c r="H27" s="430"/>
    </row>
    <row r="28" spans="1:8" x14ac:dyDescent="0.35">
      <c r="A28" s="430"/>
      <c r="B28" s="430"/>
      <c r="C28" s="430"/>
      <c r="D28" s="430"/>
      <c r="E28" s="430"/>
      <c r="F28" s="430"/>
      <c r="G28" s="430"/>
      <c r="H28" s="430"/>
    </row>
    <row r="29" spans="1:8" x14ac:dyDescent="0.35">
      <c r="A29" s="430"/>
      <c r="B29" s="430"/>
      <c r="C29" s="430"/>
      <c r="D29" s="430"/>
      <c r="E29" s="430"/>
      <c r="F29" s="430"/>
      <c r="G29" s="430"/>
      <c r="H29" s="430"/>
    </row>
    <row r="30" spans="1:8" x14ac:dyDescent="0.35">
      <c r="A30" s="430"/>
      <c r="B30" s="430"/>
      <c r="C30" s="430"/>
      <c r="D30" s="430"/>
      <c r="E30" s="430"/>
      <c r="F30" s="430"/>
      <c r="G30" s="430"/>
      <c r="H30" s="430"/>
    </row>
  </sheetData>
  <customSheetViews>
    <customSheetView guid="{EDC1BD6E-863A-4FC6-A3A9-F32079F4F0C1}">
      <selection activeCell="E33" sqref="E33"/>
      <pageMargins left="0" right="0" top="0" bottom="0" header="0" footer="0"/>
      <pageSetup paperSize="9" orientation="portrait" verticalDpi="0" r:id="rId1"/>
    </customSheetView>
  </customSheetViews>
  <mergeCells count="1">
    <mergeCell ref="A1:H30"/>
  </mergeCells>
  <pageMargins left="0.7" right="0.7" top="0.75" bottom="0.75" header="0.3" footer="0.3"/>
  <pageSetup paperSize="9" orientation="portrait"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3">
    <tabColor rgb="FFFF0000"/>
  </sheetPr>
  <dimension ref="A1:H3"/>
  <sheetViews>
    <sheetView workbookViewId="0"/>
  </sheetViews>
  <sheetFormatPr defaultRowHeight="13.75" customHeight="1" x14ac:dyDescent="0.35"/>
  <cols>
    <col min="1" max="1" width="1.54296875" customWidth="1"/>
    <col min="2" max="2" width="30.7265625" style="1" customWidth="1"/>
    <col min="3" max="8" width="9.1796875" style="1"/>
  </cols>
  <sheetData>
    <row r="1" spans="1:8" ht="13.75" customHeight="1" x14ac:dyDescent="0.35">
      <c r="A1" s="32">
        <f>ROUNDDOWN('C&amp;O'!A32,0)+1</f>
        <v>30</v>
      </c>
      <c r="B1" s="93" t="str">
        <f>"Note "&amp;A1&amp; " Defined benefit pension schemes"</f>
        <v>Note 30 Defined benefit pension schemes</v>
      </c>
    </row>
    <row r="3" spans="1:8" ht="32.5" customHeight="1" x14ac:dyDescent="0.35">
      <c r="B3" s="496" t="s">
        <v>1114</v>
      </c>
      <c r="C3" s="496"/>
      <c r="D3" s="496"/>
      <c r="E3" s="496"/>
      <c r="F3" s="496"/>
      <c r="G3" s="496"/>
      <c r="H3" s="496"/>
    </row>
  </sheetData>
  <mergeCells count="1">
    <mergeCell ref="B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sheetPr>
  <dimension ref="B7:B10"/>
  <sheetViews>
    <sheetView workbookViewId="0"/>
  </sheetViews>
  <sheetFormatPr defaultColWidth="9.1796875" defaultRowHeight="12.5" x14ac:dyDescent="0.25"/>
  <cols>
    <col min="1" max="1" width="9.1796875" style="4"/>
    <col min="2" max="2" width="71.7265625" style="4" bestFit="1" customWidth="1"/>
    <col min="3" max="16384" width="9.1796875" style="4"/>
  </cols>
  <sheetData>
    <row r="7" spans="2:2" x14ac:dyDescent="0.25">
      <c r="B7" s="3" t="str">
        <f>SelectedFT</f>
        <v>North West Ambulance Service NHS Trust</v>
      </c>
    </row>
    <row r="10" spans="2:2" x14ac:dyDescent="0.25">
      <c r="B10" s="3" t="str">
        <f>"Annual accounts for the year ended " &amp; TEXT(CurrentYearEnd, "d mmmm yyyy")</f>
        <v>Annual accounts for the year ended 31 March 2025</v>
      </c>
    </row>
  </sheetData>
  <customSheetViews>
    <customSheetView guid="{EDC1BD6E-863A-4FC6-A3A9-F32079F4F0C1}">
      <selection activeCell="B7" sqref="B7"/>
      <pageMargins left="0" right="0" top="0" bottom="0" header="0" footer="0"/>
      <pageSetup paperSize="9" orientation="portrait" verticalDpi="0" r:id="rId1"/>
      <headerFooter>
        <oddHeader>&amp;LINSERT YOUR NHS Foundation Trust&amp;RStatement of accounts 2014/15</oddHeader>
      </headerFooter>
    </customSheetView>
  </customSheetViews>
  <pageMargins left="0.59055118110236227" right="0.59055118110236227" top="0.59055118110236227" bottom="0.59055118110236227" header="0" footer="0"/>
  <pageSetup paperSize="9" orientation="portrait" r:id="rId2"/>
  <headerFooter>
    <oddFooter>Page &amp;P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tabColor rgb="FFFF0000"/>
  </sheetPr>
  <dimension ref="A1:O20"/>
  <sheetViews>
    <sheetView topLeftCell="B1" workbookViewId="0"/>
  </sheetViews>
  <sheetFormatPr defaultColWidth="9.1796875" defaultRowHeight="13.75" customHeight="1" x14ac:dyDescent="0.35"/>
  <cols>
    <col min="1" max="1" width="1.7265625" hidden="1" customWidth="1"/>
    <col min="2" max="2" width="38.54296875" customWidth="1"/>
    <col min="3" max="11" width="10.26953125" customWidth="1"/>
    <col min="12" max="14" width="8.7265625" customWidth="1"/>
  </cols>
  <sheetData>
    <row r="1" spans="1:15" ht="26.15" customHeight="1" x14ac:dyDescent="0.55000000000000004">
      <c r="B1" s="143" t="s">
        <v>1241</v>
      </c>
    </row>
    <row r="2" spans="1:15" ht="13.75" customHeight="1" x14ac:dyDescent="0.35">
      <c r="A2" s="128">
        <f>ROUNDDOWN('36 CRL and breakeven duty'!A29,0)+1</f>
        <v>40</v>
      </c>
      <c r="B2" s="93" t="str">
        <f>"Note "&amp;A2&amp;" Breakeven duty rolling assessment "</f>
        <v xml:space="preserve">Note 40 Breakeven duty rolling assessment </v>
      </c>
      <c r="K2" s="1"/>
      <c r="L2" s="1"/>
      <c r="M2" s="1"/>
      <c r="N2" s="1"/>
    </row>
    <row r="3" spans="1:15" ht="13.75" customHeight="1" x14ac:dyDescent="0.35">
      <c r="A3" s="128"/>
      <c r="B3" s="93"/>
      <c r="K3" s="1"/>
      <c r="L3" s="1"/>
      <c r="M3" s="1"/>
      <c r="N3" s="1"/>
    </row>
    <row r="4" spans="1:15" s="237" customFormat="1" ht="14.5" x14ac:dyDescent="0.35">
      <c r="B4" s="260" t="s">
        <v>1242</v>
      </c>
    </row>
    <row r="5" spans="1:15" ht="13.75" customHeight="1" x14ac:dyDescent="0.35">
      <c r="A5" s="144"/>
    </row>
    <row r="6" spans="1:15" ht="13.75" customHeight="1" x14ac:dyDescent="0.35">
      <c r="A6" s="144"/>
      <c r="C6" s="80" t="s">
        <v>1243</v>
      </c>
      <c r="D6" s="80" t="s">
        <v>1244</v>
      </c>
      <c r="E6" s="80" t="s">
        <v>1245</v>
      </c>
      <c r="F6" s="80" t="s">
        <v>1246</v>
      </c>
      <c r="G6" s="80" t="s">
        <v>1247</v>
      </c>
      <c r="H6" s="80" t="s">
        <v>1248</v>
      </c>
      <c r="I6" s="80" t="s">
        <v>1249</v>
      </c>
      <c r="J6" s="80" t="s">
        <v>1254</v>
      </c>
      <c r="K6" s="80" t="s">
        <v>1255</v>
      </c>
    </row>
    <row r="7" spans="1:15" ht="13.75" customHeight="1" x14ac:dyDescent="0.35">
      <c r="A7" s="144"/>
      <c r="C7" s="80" t="s">
        <v>542</v>
      </c>
      <c r="D7" s="80" t="s">
        <v>542</v>
      </c>
      <c r="E7" s="80" t="s">
        <v>542</v>
      </c>
      <c r="F7" s="80" t="s">
        <v>542</v>
      </c>
      <c r="G7" s="80" t="s">
        <v>542</v>
      </c>
      <c r="H7" s="80" t="s">
        <v>542</v>
      </c>
      <c r="I7" s="80" t="s">
        <v>542</v>
      </c>
      <c r="J7" s="80" t="s">
        <v>542</v>
      </c>
      <c r="K7" s="80" t="s">
        <v>542</v>
      </c>
    </row>
    <row r="8" spans="1:15" ht="13.75" customHeight="1" x14ac:dyDescent="0.35">
      <c r="A8" s="144"/>
      <c r="B8" s="111" t="s">
        <v>1250</v>
      </c>
      <c r="C8" s="41"/>
      <c r="D8" s="41">
        <v>1041</v>
      </c>
      <c r="E8" s="41">
        <v>2065</v>
      </c>
      <c r="F8" s="41">
        <v>1558</v>
      </c>
      <c r="G8" s="41">
        <v>2707</v>
      </c>
      <c r="H8" s="41">
        <v>2786</v>
      </c>
      <c r="I8" s="41">
        <v>513</v>
      </c>
      <c r="J8" s="41">
        <v>135</v>
      </c>
      <c r="K8" s="41">
        <v>6965</v>
      </c>
    </row>
    <row r="9" spans="1:15" ht="13.75" customHeight="1" x14ac:dyDescent="0.35">
      <c r="A9" s="144"/>
      <c r="B9" s="111" t="s">
        <v>1251</v>
      </c>
      <c r="C9" s="41">
        <v>3678</v>
      </c>
      <c r="D9" s="41">
        <f t="shared" ref="D9:I9" si="0">C9+D8</f>
        <v>4719</v>
      </c>
      <c r="E9" s="41">
        <f t="shared" si="0"/>
        <v>6784</v>
      </c>
      <c r="F9" s="41">
        <f t="shared" si="0"/>
        <v>8342</v>
      </c>
      <c r="G9" s="41">
        <f t="shared" si="0"/>
        <v>11049</v>
      </c>
      <c r="H9" s="41">
        <f t="shared" si="0"/>
        <v>13835</v>
      </c>
      <c r="I9" s="41">
        <f t="shared" si="0"/>
        <v>14348</v>
      </c>
      <c r="J9" s="41">
        <f>I9+J8</f>
        <v>14483</v>
      </c>
      <c r="K9" s="41">
        <f>J9+K8</f>
        <v>21448</v>
      </c>
    </row>
    <row r="10" spans="1:15" ht="13.75" customHeight="1" x14ac:dyDescent="0.35">
      <c r="A10" s="144"/>
      <c r="B10" s="111" t="s">
        <v>1252</v>
      </c>
      <c r="C10" s="41"/>
      <c r="D10" s="41">
        <v>242220</v>
      </c>
      <c r="E10" s="41">
        <v>252840</v>
      </c>
      <c r="F10" s="41">
        <v>259176</v>
      </c>
      <c r="G10" s="41">
        <v>261312</v>
      </c>
      <c r="H10" s="41">
        <v>261944</v>
      </c>
      <c r="I10" s="41">
        <v>266952</v>
      </c>
      <c r="J10" s="41">
        <v>282429</v>
      </c>
      <c r="K10" s="41">
        <v>316422</v>
      </c>
    </row>
    <row r="11" spans="1:15" ht="26.25" customHeight="1" thickBot="1" x14ac:dyDescent="0.4">
      <c r="A11" s="144"/>
      <c r="B11" s="14" t="s">
        <v>1253</v>
      </c>
      <c r="C11" s="164"/>
      <c r="D11" s="154">
        <f>IFERROR(D9/D10,0)</f>
        <v>1.9482288828337874E-2</v>
      </c>
      <c r="E11" s="154">
        <f t="shared" ref="E11" si="1">IFERROR(E9/E10,0)</f>
        <v>2.6831197595317196E-2</v>
      </c>
      <c r="F11" s="154">
        <f>IFERROR(F9/F10,0)</f>
        <v>3.2186622218106614E-2</v>
      </c>
      <c r="G11" s="154">
        <f>IFERROR(G9/G10,0)</f>
        <v>4.2282788390889052E-2</v>
      </c>
      <c r="H11" s="154">
        <f>IFERROR(H9/H10,0)</f>
        <v>5.2816632562685151E-2</v>
      </c>
      <c r="I11" s="154">
        <f t="shared" ref="I11" si="2">IFERROR(I9/I10,0)</f>
        <v>5.3747490185501512E-2</v>
      </c>
      <c r="J11" s="154">
        <f>IFERROR(J9/J10,0)</f>
        <v>5.1280144744342823E-2</v>
      </c>
      <c r="K11" s="154">
        <f>IFERROR(K9/K10,0)</f>
        <v>6.7782897522928237E-2</v>
      </c>
    </row>
    <row r="12" spans="1:15" ht="13.75" customHeight="1" thickTop="1" x14ac:dyDescent="0.35">
      <c r="A12" s="144"/>
      <c r="B12" s="59"/>
    </row>
    <row r="13" spans="1:15" ht="13.75" customHeight="1" x14ac:dyDescent="0.35">
      <c r="A13" s="144"/>
      <c r="D13" s="80" t="s">
        <v>1256</v>
      </c>
      <c r="E13" s="80" t="s">
        <v>1257</v>
      </c>
      <c r="F13" s="80" t="s">
        <v>1258</v>
      </c>
      <c r="G13" s="80" t="s">
        <v>1365</v>
      </c>
      <c r="H13" s="80" t="s">
        <v>1453</v>
      </c>
      <c r="I13" s="80" t="s">
        <v>1495</v>
      </c>
      <c r="J13" s="80" t="str">
        <f>ComparativeFY</f>
        <v>2023/24</v>
      </c>
      <c r="K13" s="80" t="str">
        <f>CurrentFY</f>
        <v>2024/25</v>
      </c>
    </row>
    <row r="14" spans="1:15" ht="13.75" customHeight="1" x14ac:dyDescent="0.35">
      <c r="A14" s="144"/>
      <c r="D14" s="80" t="s">
        <v>542</v>
      </c>
      <c r="E14" s="80" t="s">
        <v>542</v>
      </c>
      <c r="F14" s="80" t="s">
        <v>542</v>
      </c>
      <c r="G14" s="80" t="s">
        <v>542</v>
      </c>
      <c r="H14" s="80" t="s">
        <v>542</v>
      </c>
      <c r="I14" s="80" t="s">
        <v>542</v>
      </c>
      <c r="J14" s="80" t="s">
        <v>542</v>
      </c>
      <c r="K14" s="80" t="s">
        <v>462</v>
      </c>
    </row>
    <row r="15" spans="1:15" ht="13.75" customHeight="1" x14ac:dyDescent="0.35">
      <c r="A15" s="144"/>
      <c r="B15" s="111" t="s">
        <v>1250</v>
      </c>
      <c r="D15" s="41">
        <v>6031</v>
      </c>
      <c r="E15" s="41">
        <v>5319</v>
      </c>
      <c r="F15" s="41">
        <v>2982</v>
      </c>
      <c r="G15" s="41">
        <v>41</v>
      </c>
      <c r="H15" s="41">
        <v>82</v>
      </c>
      <c r="I15" s="41">
        <v>4866</v>
      </c>
      <c r="J15" s="41">
        <v>5847</v>
      </c>
      <c r="K15" s="41">
        <v>6288</v>
      </c>
      <c r="O15" s="59"/>
    </row>
    <row r="16" spans="1:15" ht="13.75" customHeight="1" x14ac:dyDescent="0.35">
      <c r="A16" s="144"/>
      <c r="B16" s="111" t="s">
        <v>1251</v>
      </c>
      <c r="D16" s="41">
        <f>K9+D15</f>
        <v>27479</v>
      </c>
      <c r="E16" s="41">
        <f t="shared" ref="E16:K16" si="3">D16+E15</f>
        <v>32798</v>
      </c>
      <c r="F16" s="41">
        <f t="shared" si="3"/>
        <v>35780</v>
      </c>
      <c r="G16" s="41">
        <f t="shared" si="3"/>
        <v>35821</v>
      </c>
      <c r="H16" s="41">
        <f t="shared" si="3"/>
        <v>35903</v>
      </c>
      <c r="I16" s="41">
        <f t="shared" si="3"/>
        <v>40769</v>
      </c>
      <c r="J16" s="41">
        <f t="shared" si="3"/>
        <v>46616</v>
      </c>
      <c r="K16" s="41">
        <f t="shared" si="3"/>
        <v>52904</v>
      </c>
    </row>
    <row r="17" spans="1:11" ht="13.75" customHeight="1" x14ac:dyDescent="0.35">
      <c r="A17" s="144"/>
      <c r="B17" s="111" t="s">
        <v>1252</v>
      </c>
      <c r="D17" s="41">
        <v>327731</v>
      </c>
      <c r="E17" s="41">
        <v>341787</v>
      </c>
      <c r="F17" s="41">
        <v>370582</v>
      </c>
      <c r="G17" s="41">
        <v>440004</v>
      </c>
      <c r="H17" s="41">
        <v>469609</v>
      </c>
      <c r="I17" s="41">
        <v>492694</v>
      </c>
      <c r="J17" s="41">
        <v>511996</v>
      </c>
      <c r="K17" s="41">
        <v>554755</v>
      </c>
    </row>
    <row r="18" spans="1:11" ht="27" customHeight="1" thickBot="1" x14ac:dyDescent="0.4">
      <c r="A18" s="144"/>
      <c r="B18" s="25" t="s">
        <v>1253</v>
      </c>
      <c r="D18" s="154">
        <f>IFERROR(D16/D17,0)</f>
        <v>8.3846203136108577E-2</v>
      </c>
      <c r="E18" s="154">
        <f>IFERROR(E16/E17,0)</f>
        <v>9.5960349574442563E-2</v>
      </c>
      <c r="F18" s="154">
        <f>IFERROR(F16/F17,0)</f>
        <v>9.6550830855249306E-2</v>
      </c>
      <c r="G18" s="154">
        <f>IFERROR(G16/G17,0)</f>
        <v>8.1410623539785995E-2</v>
      </c>
      <c r="H18" s="154">
        <f t="shared" ref="H18:K18" si="4">IFERROR(H16/H17,0)</f>
        <v>7.6452964061591661E-2</v>
      </c>
      <c r="I18" s="154">
        <f t="shared" si="4"/>
        <v>8.2747100634470883E-2</v>
      </c>
      <c r="J18" s="154">
        <f t="shared" si="4"/>
        <v>9.1047586309268042E-2</v>
      </c>
      <c r="K18" s="154">
        <f t="shared" si="4"/>
        <v>9.5364620418022364E-2</v>
      </c>
    </row>
    <row r="19" spans="1:11" ht="13.75" customHeight="1" thickTop="1" x14ac:dyDescent="0.35">
      <c r="A19" s="144"/>
    </row>
    <row r="20" spans="1:11" ht="13.75" customHeight="1" x14ac:dyDescent="0.35">
      <c r="A20" s="144"/>
    </row>
  </sheetData>
  <phoneticPr fontId="47" type="noConversion"/>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C12D0-8137-4571-98ED-4885B3349179}">
  <sheetPr codeName="Sheet60">
    <tabColor rgb="FFFF0000"/>
  </sheetPr>
  <dimension ref="A1:T34"/>
  <sheetViews>
    <sheetView workbookViewId="0"/>
  </sheetViews>
  <sheetFormatPr defaultColWidth="9.1796875" defaultRowHeight="14.15" customHeight="1" x14ac:dyDescent="0.35"/>
  <cols>
    <col min="1" max="1" width="1" style="32" customWidth="1"/>
    <col min="2" max="2" width="61.26953125" customWidth="1"/>
    <col min="3" max="3" width="12.1796875" style="1" customWidth="1"/>
    <col min="4" max="4" width="0.81640625" style="1" customWidth="1"/>
    <col min="5" max="5" width="12.1796875" style="1" customWidth="1"/>
    <col min="6" max="6" width="10.7265625" style="1" customWidth="1"/>
    <col min="7" max="20" width="9.1796875" style="1"/>
  </cols>
  <sheetData>
    <row r="1" spans="1:14" s="1" customFormat="1" ht="13.5" customHeight="1" thickBot="1" x14ac:dyDescent="0.3">
      <c r="A1" s="31">
        <f>ROUNDDOWN('15-16 Leeses&amp;IP'!A41,0)+1</f>
        <v>16</v>
      </c>
      <c r="B1" s="14" t="str">
        <f>"Note "&amp; A1&amp; " Investment Property"</f>
        <v>Note 16 Investment Property</v>
      </c>
      <c r="C1" s="14"/>
      <c r="E1" s="14"/>
      <c r="G1" s="161" t="s">
        <v>1543</v>
      </c>
      <c r="H1" s="165"/>
      <c r="I1" s="162"/>
      <c r="J1" s="162"/>
      <c r="K1" s="162"/>
      <c r="L1" s="162"/>
      <c r="M1" s="162"/>
      <c r="N1" s="163"/>
    </row>
    <row r="2" spans="1:14" s="1" customFormat="1" ht="13.75" customHeight="1" x14ac:dyDescent="0.25">
      <c r="A2" s="31"/>
      <c r="B2" s="14"/>
      <c r="C2" s="80" t="str">
        <f>CurrentFY</f>
        <v>2024/25</v>
      </c>
      <c r="E2" s="80" t="str">
        <f>ComparativeFY</f>
        <v>2023/24</v>
      </c>
    </row>
    <row r="3" spans="1:14" s="1" customFormat="1" ht="14.15" customHeight="1" x14ac:dyDescent="0.25">
      <c r="A3" s="31"/>
      <c r="B3" s="14"/>
      <c r="C3" s="80" t="s">
        <v>542</v>
      </c>
      <c r="E3" s="80" t="s">
        <v>542</v>
      </c>
    </row>
    <row r="4" spans="1:14" s="1" customFormat="1" ht="14.15" customHeight="1" x14ac:dyDescent="0.25">
      <c r="A4" s="31"/>
      <c r="B4" s="14" t="s">
        <v>943</v>
      </c>
      <c r="C4" s="50">
        <f>E16</f>
        <v>0</v>
      </c>
      <c r="E4" s="50">
        <v>160</v>
      </c>
      <c r="J4" s="100"/>
    </row>
    <row r="5" spans="1:14" s="245" customFormat="1" ht="14.15" hidden="1" customHeight="1" x14ac:dyDescent="0.25">
      <c r="A5" s="243"/>
      <c r="B5" s="216" t="s">
        <v>500</v>
      </c>
      <c r="C5" s="218"/>
      <c r="E5" s="218">
        <v>0</v>
      </c>
    </row>
    <row r="6" spans="1:14" s="245" customFormat="1" ht="14.15" hidden="1" customHeight="1" x14ac:dyDescent="0.25">
      <c r="A6" s="243"/>
      <c r="B6" s="255" t="str">
        <f>"Carrying value at 1 April - restated"</f>
        <v>Carrying value at 1 April - restated</v>
      </c>
      <c r="C6" s="222">
        <f>SUM(C4:C5)</f>
        <v>0</v>
      </c>
      <c r="E6" s="222">
        <f>SUM(E4:E5)</f>
        <v>160</v>
      </c>
      <c r="F6" s="256"/>
    </row>
    <row r="7" spans="1:14" s="245" customFormat="1" ht="14.15" hidden="1" customHeight="1" x14ac:dyDescent="0.25">
      <c r="A7" s="243"/>
      <c r="B7" s="255" t="s">
        <v>944</v>
      </c>
      <c r="C7" s="227">
        <v>0</v>
      </c>
      <c r="E7" s="218">
        <v>0</v>
      </c>
      <c r="F7" s="268"/>
      <c r="G7" s="245" t="s">
        <v>544</v>
      </c>
    </row>
    <row r="8" spans="1:14" s="245" customFormat="1" ht="14.15" hidden="1" customHeight="1" x14ac:dyDescent="0.25">
      <c r="A8" s="243"/>
      <c r="B8" s="216" t="s">
        <v>919</v>
      </c>
      <c r="C8" s="218">
        <v>0</v>
      </c>
      <c r="E8" s="218">
        <v>0</v>
      </c>
    </row>
    <row r="9" spans="1:14" s="245" customFormat="1" ht="14.15" hidden="1" customHeight="1" x14ac:dyDescent="0.25">
      <c r="A9" s="243"/>
      <c r="B9" s="216" t="s">
        <v>945</v>
      </c>
      <c r="C9" s="218">
        <v>0</v>
      </c>
      <c r="E9" s="218">
        <v>0</v>
      </c>
    </row>
    <row r="10" spans="1:14" s="1" customFormat="1" ht="14.15" customHeight="1" x14ac:dyDescent="0.25">
      <c r="A10" s="31"/>
      <c r="B10" s="105" t="s">
        <v>1324</v>
      </c>
      <c r="C10" s="41">
        <v>0</v>
      </c>
      <c r="E10" s="41">
        <v>0</v>
      </c>
    </row>
    <row r="11" spans="1:14" s="1" customFormat="1" ht="14.15" hidden="1" customHeight="1" x14ac:dyDescent="0.25">
      <c r="A11" s="31"/>
      <c r="B11" s="105" t="s">
        <v>1375</v>
      </c>
      <c r="C11" s="41">
        <v>0</v>
      </c>
      <c r="E11" s="41">
        <v>0</v>
      </c>
    </row>
    <row r="12" spans="1:14" s="1" customFormat="1" ht="14.15" customHeight="1" x14ac:dyDescent="0.25">
      <c r="A12" s="31"/>
      <c r="B12" s="105" t="s">
        <v>946</v>
      </c>
      <c r="C12" s="41">
        <v>0</v>
      </c>
      <c r="E12" s="41">
        <v>-160</v>
      </c>
    </row>
    <row r="13" spans="1:14" s="245" customFormat="1" ht="14.15" hidden="1" customHeight="1" x14ac:dyDescent="0.25">
      <c r="A13" s="243"/>
      <c r="B13" s="216" t="s">
        <v>1373</v>
      </c>
      <c r="C13" s="218">
        <v>0</v>
      </c>
      <c r="E13" s="218">
        <v>0</v>
      </c>
      <c r="G13" s="268"/>
    </row>
    <row r="14" spans="1:14" s="245" customFormat="1" ht="13.75" hidden="1" customHeight="1" x14ac:dyDescent="0.25">
      <c r="A14" s="243"/>
      <c r="B14" s="216" t="s">
        <v>947</v>
      </c>
      <c r="C14" s="218">
        <v>0</v>
      </c>
      <c r="E14" s="218">
        <v>0</v>
      </c>
    </row>
    <row r="15" spans="1:14" s="1" customFormat="1" ht="14.15" hidden="1" customHeight="1" x14ac:dyDescent="0.25">
      <c r="A15" s="31"/>
      <c r="B15" s="105" t="s">
        <v>948</v>
      </c>
      <c r="C15" s="41">
        <v>0</v>
      </c>
      <c r="E15" s="41">
        <v>0</v>
      </c>
    </row>
    <row r="16" spans="1:14" s="1" customFormat="1" ht="14.15" customHeight="1" thickBot="1" x14ac:dyDescent="0.3">
      <c r="A16" s="31"/>
      <c r="B16" s="93" t="str">
        <f>"Carrying value at 31 March"</f>
        <v>Carrying value at 31 March</v>
      </c>
      <c r="C16" s="42">
        <f>SUM(C6:C15)</f>
        <v>0</v>
      </c>
      <c r="E16" s="42">
        <f>SUM(E6:E15)</f>
        <v>0</v>
      </c>
      <c r="F16" s="13"/>
      <c r="G16" s="13"/>
      <c r="H16" s="13"/>
    </row>
    <row r="17" spans="1:5" s="1" customFormat="1" ht="14.15" customHeight="1" thickTop="1" x14ac:dyDescent="0.25">
      <c r="A17" s="31"/>
      <c r="B17" s="123"/>
      <c r="D17" s="14"/>
      <c r="E17" s="14"/>
    </row>
    <row r="18" spans="1:5" s="1" customFormat="1" ht="14.15" customHeight="1" x14ac:dyDescent="0.25">
      <c r="A18" s="31">
        <f>A1+0.1</f>
        <v>16.100000000000001</v>
      </c>
      <c r="B18" s="14" t="str">
        <f>"Note "&amp;A18&amp; " Investment property income and expenses"</f>
        <v>Note 16.1 Investment property income and expenses</v>
      </c>
      <c r="D18" s="34"/>
      <c r="E18" s="34"/>
    </row>
    <row r="19" spans="1:5" s="1" customFormat="1" ht="14.15" customHeight="1" x14ac:dyDescent="0.25">
      <c r="A19" s="31"/>
      <c r="C19" s="80" t="str">
        <f>CurrentFY</f>
        <v>2024/25</v>
      </c>
      <c r="D19" s="80"/>
      <c r="E19" s="80" t="str">
        <f>ComparativeFY</f>
        <v>2023/24</v>
      </c>
    </row>
    <row r="20" spans="1:5" s="1" customFormat="1" ht="14.15" customHeight="1" x14ac:dyDescent="0.25">
      <c r="A20" s="31"/>
      <c r="C20" s="80" t="s">
        <v>542</v>
      </c>
      <c r="D20" s="80"/>
      <c r="E20" s="80" t="s">
        <v>542</v>
      </c>
    </row>
    <row r="21" spans="1:5" s="1" customFormat="1" ht="26.15" customHeight="1" x14ac:dyDescent="0.25">
      <c r="A21" s="31"/>
      <c r="B21" s="105" t="s">
        <v>949</v>
      </c>
      <c r="C21" s="41">
        <v>-9</v>
      </c>
      <c r="E21" s="41">
        <v>-15</v>
      </c>
    </row>
    <row r="22" spans="1:5" s="245" customFormat="1" ht="26.15" hidden="1" customHeight="1" x14ac:dyDescent="0.25">
      <c r="A22" s="243"/>
      <c r="B22" s="216" t="s">
        <v>950</v>
      </c>
      <c r="C22" s="218"/>
      <c r="E22" s="218"/>
    </row>
    <row r="23" spans="1:5" s="1" customFormat="1" ht="14.15" customHeight="1" x14ac:dyDescent="0.25">
      <c r="A23" s="31"/>
      <c r="B23" s="14" t="s">
        <v>951</v>
      </c>
      <c r="C23" s="43">
        <f>SUM(C21:C22)</f>
        <v>-9</v>
      </c>
      <c r="E23" s="43">
        <f>SUM(E21:E22)</f>
        <v>-15</v>
      </c>
    </row>
    <row r="24" spans="1:5" s="1" customFormat="1" ht="14.15" customHeight="1" x14ac:dyDescent="0.25">
      <c r="A24" s="31"/>
      <c r="B24" s="105" t="s">
        <v>952</v>
      </c>
      <c r="C24" s="41">
        <v>67</v>
      </c>
      <c r="E24" s="41">
        <v>87</v>
      </c>
    </row>
    <row r="25" spans="1:5" s="1" customFormat="1" ht="14.15" customHeight="1" x14ac:dyDescent="0.25">
      <c r="A25" s="31"/>
    </row>
    <row r="26" spans="1:5" s="1" customFormat="1" ht="14.15" customHeight="1" x14ac:dyDescent="0.25">
      <c r="A26" s="31"/>
    </row>
    <row r="27" spans="1:5" s="1" customFormat="1" ht="14.15" customHeight="1" x14ac:dyDescent="0.25">
      <c r="A27" s="31"/>
    </row>
    <row r="28" spans="1:5" s="1" customFormat="1" ht="14.15" customHeight="1" x14ac:dyDescent="0.25">
      <c r="A28" s="31"/>
    </row>
    <row r="29" spans="1:5" s="1" customFormat="1" ht="14.15" customHeight="1" x14ac:dyDescent="0.25">
      <c r="A29" s="31"/>
    </row>
    <row r="30" spans="1:5" s="1" customFormat="1" ht="14.15" customHeight="1" x14ac:dyDescent="0.25">
      <c r="A30" s="31"/>
    </row>
    <row r="31" spans="1:5" s="1" customFormat="1" ht="14.15" customHeight="1" x14ac:dyDescent="0.25">
      <c r="A31" s="31"/>
    </row>
    <row r="32" spans="1:5" s="1" customFormat="1" ht="14.15" customHeight="1" x14ac:dyDescent="0.25">
      <c r="A32" s="31"/>
    </row>
    <row r="33" spans="1:1" s="1" customFormat="1" ht="14.15" customHeight="1" x14ac:dyDescent="0.25">
      <c r="A33" s="31"/>
    </row>
    <row r="34" spans="1:1" s="1" customFormat="1" ht="14.15" customHeight="1" x14ac:dyDescent="0.25">
      <c r="A34" s="31"/>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6FD35-3D7F-475B-A0BA-6C508AB2B00A}">
  <sheetPr codeName="Sheet26">
    <tabColor rgb="FFFF0000"/>
  </sheetPr>
  <dimension ref="A1:E18"/>
  <sheetViews>
    <sheetView topLeftCell="A3" workbookViewId="0"/>
  </sheetViews>
  <sheetFormatPr defaultColWidth="9.1796875" defaultRowHeight="14.15" customHeight="1" x14ac:dyDescent="0.25"/>
  <cols>
    <col min="1" max="1" width="0.81640625" style="31" customWidth="1"/>
    <col min="2" max="2" width="62.26953125" style="1" customWidth="1"/>
    <col min="3" max="3" width="11.453125" style="1" customWidth="1"/>
    <col min="4" max="4" width="0.7265625" style="1" customWidth="1"/>
    <col min="5" max="5" width="11.453125" style="1" customWidth="1"/>
    <col min="6" max="16384" width="9.1796875" style="1"/>
  </cols>
  <sheetData>
    <row r="1" spans="1:5" s="245" customFormat="1" ht="26.15" hidden="1" customHeight="1" x14ac:dyDescent="0.25">
      <c r="A1" s="243"/>
      <c r="B1" s="446" t="s">
        <v>1184</v>
      </c>
      <c r="C1" s="446"/>
      <c r="D1" s="446"/>
      <c r="E1" s="446"/>
    </row>
    <row r="2" spans="1:5" s="245" customFormat="1" ht="14.15" hidden="1" customHeight="1" x14ac:dyDescent="0.25">
      <c r="A2" s="243"/>
    </row>
    <row r="3" spans="1:5" ht="14.15" customHeight="1" x14ac:dyDescent="0.25">
      <c r="A3" s="31">
        <f>'30 FI'!A60+0.1</f>
        <v>30.400000000000006</v>
      </c>
      <c r="B3" s="14" t="str">
        <f>"Note "&amp; A3&amp; " Maturity of financial liabilities"</f>
        <v>Note 30.4 Maturity of financial liabilities</v>
      </c>
      <c r="C3" s="93"/>
      <c r="D3" s="93"/>
      <c r="E3" s="93"/>
    </row>
    <row r="4" spans="1:5" ht="26.5" customHeight="1" x14ac:dyDescent="0.25">
      <c r="B4" s="459" t="s">
        <v>1185</v>
      </c>
      <c r="C4" s="459"/>
      <c r="D4" s="459"/>
      <c r="E4" s="459"/>
    </row>
    <row r="5" spans="1:5" ht="42.4" customHeight="1" x14ac:dyDescent="0.25">
      <c r="B5" s="14"/>
      <c r="C5" s="80" t="str">
        <f xml:space="preserve"> TEXT(CurrentYearEnd, "d mmmm yyyy")</f>
        <v>31 March 2025</v>
      </c>
      <c r="D5" s="80"/>
      <c r="E5" s="80" t="str">
        <f>TEXT(ComparativeYearEnd, "d mmmm yyyy")</f>
        <v>31 March 2024</v>
      </c>
    </row>
    <row r="6" spans="1:5" ht="14.15" customHeight="1" x14ac:dyDescent="0.25">
      <c r="B6" s="14"/>
      <c r="C6" s="80" t="s">
        <v>542</v>
      </c>
      <c r="D6" s="80"/>
      <c r="E6" s="80" t="s">
        <v>542</v>
      </c>
    </row>
    <row r="7" spans="1:5" ht="14.15" customHeight="1" x14ac:dyDescent="0.25">
      <c r="B7" s="105" t="s">
        <v>1186</v>
      </c>
      <c r="C7" s="41">
        <v>48659</v>
      </c>
      <c r="D7" s="41"/>
      <c r="E7" s="41">
        <v>50686.508999999998</v>
      </c>
    </row>
    <row r="8" spans="1:5" ht="14.15" customHeight="1" x14ac:dyDescent="0.25">
      <c r="B8" s="105" t="s">
        <v>1187</v>
      </c>
      <c r="C8" s="41">
        <v>7849</v>
      </c>
      <c r="D8" s="41"/>
      <c r="E8" s="41">
        <v>5975.8540000000003</v>
      </c>
    </row>
    <row r="9" spans="1:5" ht="14.15" customHeight="1" x14ac:dyDescent="0.25">
      <c r="B9" s="105" t="s">
        <v>1188</v>
      </c>
      <c r="C9" s="41">
        <v>10904</v>
      </c>
      <c r="D9" s="41"/>
      <c r="E9" s="41">
        <v>11299.728999999999</v>
      </c>
    </row>
    <row r="10" spans="1:5" ht="14.15" customHeight="1" thickBot="1" x14ac:dyDescent="0.4">
      <c r="B10" s="93" t="s">
        <v>541</v>
      </c>
      <c r="C10" s="42">
        <f>SUM(C7:C9)</f>
        <v>67412</v>
      </c>
      <c r="D10"/>
      <c r="E10" s="42">
        <f>SUM(E7:E9)</f>
        <v>67962.092000000004</v>
      </c>
    </row>
    <row r="11" spans="1:5" ht="14.15" customHeight="1" thickTop="1" x14ac:dyDescent="0.25">
      <c r="B11" s="14"/>
    </row>
    <row r="12" spans="1:5" ht="14.15" customHeight="1" x14ac:dyDescent="0.25">
      <c r="B12" s="14"/>
    </row>
    <row r="13" spans="1:5" s="245" customFormat="1" ht="14.15" hidden="1" customHeight="1" x14ac:dyDescent="0.25">
      <c r="A13" s="243">
        <f>A3+0.1</f>
        <v>30.500000000000007</v>
      </c>
      <c r="B13" s="261" t="str">
        <f>"Note "&amp; A13&amp; " Fair values of financial assets and liabilities"</f>
        <v>Note 30.5 Fair values of financial assets and liabilities</v>
      </c>
    </row>
    <row r="14" spans="1:5" s="245" customFormat="1" ht="14.15" hidden="1" customHeight="1" x14ac:dyDescent="0.25">
      <c r="A14" s="243"/>
    </row>
    <row r="15" spans="1:5" s="245" customFormat="1" ht="33.4" hidden="1" customHeight="1" x14ac:dyDescent="0.25">
      <c r="A15" s="243"/>
      <c r="B15" s="446" t="s">
        <v>1189</v>
      </c>
      <c r="C15" s="446"/>
      <c r="D15" s="446"/>
      <c r="E15" s="446"/>
    </row>
    <row r="16" spans="1:5" s="245" customFormat="1" ht="14.15" hidden="1" customHeight="1" x14ac:dyDescent="0.25">
      <c r="A16" s="243"/>
      <c r="B16" s="260"/>
      <c r="C16" s="260"/>
      <c r="D16" s="260"/>
    </row>
    <row r="17" spans="1:5" s="245" customFormat="1" ht="27.75" hidden="1" customHeight="1" x14ac:dyDescent="0.25">
      <c r="A17" s="243"/>
      <c r="B17" s="446" t="s">
        <v>1190</v>
      </c>
      <c r="C17" s="446"/>
      <c r="D17" s="446"/>
      <c r="E17" s="446"/>
    </row>
    <row r="18" spans="1:5" ht="14.15" customHeight="1" x14ac:dyDescent="0.25">
      <c r="B18" s="91"/>
      <c r="C18" s="91"/>
      <c r="D18" s="91"/>
    </row>
  </sheetData>
  <mergeCells count="4">
    <mergeCell ref="B17:E17"/>
    <mergeCell ref="B1:E1"/>
    <mergeCell ref="B15:E15"/>
    <mergeCell ref="B4:E4"/>
  </mergeCells>
  <pageMargins left="0.7" right="0.7" top="0.75" bottom="0.75" header="0.3" footer="0.3"/>
  <pageSetup paperSize="9"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tabColor rgb="FFFF0000"/>
  </sheetPr>
  <dimension ref="A1:F56"/>
  <sheetViews>
    <sheetView topLeftCell="A21" workbookViewId="0"/>
  </sheetViews>
  <sheetFormatPr defaultColWidth="9.1796875" defaultRowHeight="14.15" customHeight="1" x14ac:dyDescent="0.25"/>
  <cols>
    <col min="1" max="1" width="1.1796875" style="31" customWidth="1"/>
    <col min="2" max="2" width="63.26953125" style="1" customWidth="1"/>
    <col min="3" max="3" width="11" style="1" customWidth="1"/>
    <col min="4" max="4" width="1" style="1" customWidth="1"/>
    <col min="5" max="5" width="11" style="1" customWidth="1"/>
    <col min="6" max="16384" width="9.1796875" style="1"/>
  </cols>
  <sheetData>
    <row r="1" spans="1:6" s="245" customFormat="1" ht="14.15" hidden="1" customHeight="1" x14ac:dyDescent="0.25">
      <c r="A1" s="243">
        <f>ROUNDDOWN('24-25 Crs&amp;FAL'!A34,0)+1</f>
        <v>24</v>
      </c>
      <c r="B1" s="255" t="str">
        <f>"Note "&amp; A1&amp;" Other liabilities"</f>
        <v>Note 24 Other liabilities</v>
      </c>
      <c r="C1" s="255"/>
      <c r="D1" s="255"/>
      <c r="E1" s="255"/>
    </row>
    <row r="2" spans="1:6" s="245" customFormat="1" ht="24.4" hidden="1" customHeight="1" x14ac:dyDescent="0.25">
      <c r="A2" s="243"/>
      <c r="B2" s="255"/>
      <c r="C2" s="266" t="str">
        <f>TEXT(CurrentYearEnd, "d mmmm yyyy")</f>
        <v>31 March 2025</v>
      </c>
      <c r="D2" s="266"/>
      <c r="E2" s="266" t="str">
        <f>TEXT(ComparativeYearEnd, "d mmmm yyyy")</f>
        <v>31 March 2024</v>
      </c>
    </row>
    <row r="3" spans="1:6" s="245" customFormat="1" ht="14.15" hidden="1" customHeight="1" x14ac:dyDescent="0.25">
      <c r="A3" s="243"/>
      <c r="B3" s="255"/>
      <c r="C3" s="266" t="s">
        <v>542</v>
      </c>
      <c r="D3" s="266"/>
      <c r="E3" s="266" t="s">
        <v>542</v>
      </c>
    </row>
    <row r="4" spans="1:6" s="245" customFormat="1" ht="14.15" hidden="1" customHeight="1" x14ac:dyDescent="0.25">
      <c r="A4" s="243"/>
      <c r="B4" s="255" t="s">
        <v>1042</v>
      </c>
      <c r="C4" s="218"/>
      <c r="D4" s="218"/>
      <c r="E4" s="218"/>
      <c r="F4" s="218"/>
    </row>
    <row r="5" spans="1:6" s="245" customFormat="1" ht="14.15" hidden="1" customHeight="1" x14ac:dyDescent="0.25">
      <c r="A5" s="243"/>
      <c r="B5" s="216" t="s">
        <v>1060</v>
      </c>
      <c r="C5" s="218">
        <v>2222</v>
      </c>
      <c r="D5" s="218"/>
      <c r="E5" s="218">
        <v>2844</v>
      </c>
      <c r="F5" s="218"/>
    </row>
    <row r="6" spans="1:6" s="245" customFormat="1" ht="14.15" hidden="1" customHeight="1" x14ac:dyDescent="0.25">
      <c r="A6" s="243"/>
      <c r="B6" s="216" t="s">
        <v>1061</v>
      </c>
      <c r="C6" s="218">
        <v>0</v>
      </c>
      <c r="D6" s="218"/>
      <c r="E6" s="218">
        <v>0</v>
      </c>
      <c r="F6" s="218"/>
    </row>
    <row r="7" spans="1:6" s="245" customFormat="1" ht="14.15" hidden="1" customHeight="1" x14ac:dyDescent="0.25">
      <c r="A7" s="243"/>
      <c r="B7" s="216" t="s">
        <v>1062</v>
      </c>
      <c r="C7" s="218">
        <v>0</v>
      </c>
      <c r="D7" s="218"/>
      <c r="E7" s="218">
        <v>0</v>
      </c>
      <c r="F7" s="218"/>
    </row>
    <row r="8" spans="1:6" s="245" customFormat="1" ht="14.15" hidden="1" customHeight="1" x14ac:dyDescent="0.25">
      <c r="A8" s="243"/>
      <c r="B8" s="216" t="s">
        <v>1063</v>
      </c>
      <c r="C8" s="218">
        <v>0</v>
      </c>
      <c r="D8" s="218"/>
      <c r="E8" s="218">
        <v>0</v>
      </c>
      <c r="F8" s="218"/>
    </row>
    <row r="9" spans="1:6" s="245" customFormat="1" ht="14.15" hidden="1" customHeight="1" thickBot="1" x14ac:dyDescent="0.3">
      <c r="A9" s="243"/>
      <c r="B9" s="221" t="s">
        <v>1064</v>
      </c>
      <c r="C9" s="290">
        <f>SUM(C5:C8)</f>
        <v>2222</v>
      </c>
      <c r="D9" s="218"/>
      <c r="E9" s="290">
        <f>SUM(E5:E8)</f>
        <v>2844</v>
      </c>
    </row>
    <row r="10" spans="1:6" s="245" customFormat="1" ht="13.75" hidden="1" customHeight="1" thickTop="1" x14ac:dyDescent="0.25">
      <c r="A10" s="243"/>
      <c r="C10" s="327"/>
      <c r="D10" s="218"/>
      <c r="E10" s="327"/>
    </row>
    <row r="11" spans="1:6" s="245" customFormat="1" ht="14.15" hidden="1" customHeight="1" x14ac:dyDescent="0.25">
      <c r="A11" s="243"/>
      <c r="B11" s="255" t="s">
        <v>994</v>
      </c>
      <c r="C11" s="218"/>
      <c r="D11" s="218"/>
      <c r="E11" s="218"/>
      <c r="F11" s="255"/>
    </row>
    <row r="12" spans="1:6" s="245" customFormat="1" ht="14.15" hidden="1" customHeight="1" x14ac:dyDescent="0.25">
      <c r="A12" s="243"/>
      <c r="B12" s="216" t="s">
        <v>1060</v>
      </c>
      <c r="C12" s="218">
        <v>0</v>
      </c>
      <c r="D12" s="218"/>
      <c r="E12" s="218">
        <v>0</v>
      </c>
    </row>
    <row r="13" spans="1:6" s="245" customFormat="1" ht="14.15" hidden="1" customHeight="1" x14ac:dyDescent="0.25">
      <c r="A13" s="243"/>
      <c r="B13" s="216" t="s">
        <v>1061</v>
      </c>
      <c r="C13" s="218">
        <v>0</v>
      </c>
      <c r="D13" s="218"/>
      <c r="E13" s="218">
        <v>0</v>
      </c>
    </row>
    <row r="14" spans="1:6" s="245" customFormat="1" ht="14.15" hidden="1" customHeight="1" x14ac:dyDescent="0.25">
      <c r="A14" s="243"/>
      <c r="B14" s="216" t="s">
        <v>1062</v>
      </c>
      <c r="C14" s="218">
        <v>0</v>
      </c>
      <c r="D14" s="218"/>
      <c r="E14" s="218">
        <v>0</v>
      </c>
    </row>
    <row r="15" spans="1:6" s="245" customFormat="1" ht="14.15" hidden="1" customHeight="1" x14ac:dyDescent="0.25">
      <c r="A15" s="243"/>
      <c r="B15" s="216" t="s">
        <v>1063</v>
      </c>
      <c r="C15" s="218">
        <v>0</v>
      </c>
      <c r="D15" s="218"/>
      <c r="E15" s="218">
        <v>0</v>
      </c>
    </row>
    <row r="16" spans="1:6" s="245" customFormat="1" ht="14.15" hidden="1" customHeight="1" x14ac:dyDescent="0.25">
      <c r="A16" s="243"/>
      <c r="B16" s="216" t="s">
        <v>1065</v>
      </c>
      <c r="C16" s="218">
        <v>0</v>
      </c>
      <c r="D16" s="218"/>
      <c r="E16" s="218">
        <v>0</v>
      </c>
    </row>
    <row r="17" spans="1:6" s="245" customFormat="1" ht="14.15" hidden="1" customHeight="1" thickBot="1" x14ac:dyDescent="0.3">
      <c r="A17" s="243"/>
      <c r="B17" s="221" t="s">
        <v>1066</v>
      </c>
      <c r="C17" s="290">
        <f>SUM(C12:C16)</f>
        <v>0</v>
      </c>
      <c r="D17" s="218"/>
      <c r="E17" s="290">
        <f>SUM(E12:E16)</f>
        <v>0</v>
      </c>
    </row>
    <row r="18" spans="1:6" s="245" customFormat="1" ht="11.9" hidden="1" customHeight="1" thickTop="1" x14ac:dyDescent="0.25">
      <c r="A18" s="243"/>
      <c r="B18" s="221"/>
    </row>
    <row r="19" spans="1:6" s="245" customFormat="1" ht="45.75" hidden="1" customHeight="1" x14ac:dyDescent="0.25">
      <c r="A19" s="243"/>
      <c r="B19" s="446" t="s">
        <v>1067</v>
      </c>
      <c r="C19" s="446"/>
      <c r="D19" s="446"/>
      <c r="E19" s="446"/>
      <c r="F19" s="251"/>
    </row>
    <row r="20" spans="1:6" s="245" customFormat="1" ht="15" hidden="1" customHeight="1" x14ac:dyDescent="0.25">
      <c r="A20" s="243"/>
      <c r="B20" s="260"/>
      <c r="C20" s="260"/>
      <c r="D20" s="260"/>
      <c r="E20" s="260"/>
      <c r="F20" s="260"/>
    </row>
    <row r="21" spans="1:6" ht="14.15" customHeight="1" x14ac:dyDescent="0.25">
      <c r="A21" s="31">
        <f>ROUNDDOWN(A1,0)+1.1</f>
        <v>25.1</v>
      </c>
      <c r="B21" s="14" t="str">
        <f>"Note "&amp; A21&amp; " Borrowings"</f>
        <v>Note 25.1 Borrowings</v>
      </c>
      <c r="C21" s="14"/>
      <c r="D21" s="14"/>
      <c r="E21" s="14"/>
    </row>
    <row r="22" spans="1:6" ht="25.15" customHeight="1" x14ac:dyDescent="0.25">
      <c r="B22" s="14"/>
      <c r="C22" s="80" t="str">
        <f>TEXT(CurrentYearEnd, "d mmmm yyyy")</f>
        <v>31 March 2025</v>
      </c>
      <c r="D22" s="80"/>
      <c r="E22" s="80" t="str">
        <f>TEXT(ComparativeYearEnd, "d mmmm yyyy")</f>
        <v>31 March 2024</v>
      </c>
    </row>
    <row r="23" spans="1:6" ht="14.15" customHeight="1" x14ac:dyDescent="0.25">
      <c r="B23" s="14"/>
      <c r="C23" s="80" t="s">
        <v>542</v>
      </c>
      <c r="D23" s="80"/>
      <c r="E23" s="80" t="s">
        <v>542</v>
      </c>
    </row>
    <row r="24" spans="1:6" ht="14.15" customHeight="1" x14ac:dyDescent="0.25">
      <c r="B24" s="14" t="s">
        <v>1042</v>
      </c>
      <c r="C24" s="22"/>
      <c r="D24" s="22"/>
      <c r="E24" s="22"/>
      <c r="F24" s="17"/>
    </row>
    <row r="25" spans="1:6" ht="14.15" customHeight="1" x14ac:dyDescent="0.25">
      <c r="B25" s="105" t="s">
        <v>1068</v>
      </c>
      <c r="C25" s="41">
        <v>0</v>
      </c>
      <c r="D25" s="41"/>
      <c r="E25" s="41">
        <v>0</v>
      </c>
      <c r="F25" s="41"/>
    </row>
    <row r="26" spans="1:6" ht="14.15" customHeight="1" x14ac:dyDescent="0.25">
      <c r="B26" s="105" t="s">
        <v>1037</v>
      </c>
      <c r="C26" s="41">
        <v>0</v>
      </c>
      <c r="D26" s="41"/>
      <c r="E26" s="41">
        <v>0</v>
      </c>
      <c r="F26" s="41"/>
    </row>
    <row r="27" spans="1:6" ht="14.15" customHeight="1" x14ac:dyDescent="0.25">
      <c r="B27" s="105" t="s">
        <v>1069</v>
      </c>
      <c r="C27" s="41">
        <v>0</v>
      </c>
      <c r="D27" s="41"/>
      <c r="E27" s="41">
        <v>0</v>
      </c>
      <c r="F27" s="41"/>
    </row>
    <row r="28" spans="1:6" ht="14.15" customHeight="1" x14ac:dyDescent="0.25">
      <c r="B28" s="105" t="s">
        <v>891</v>
      </c>
      <c r="C28" s="41">
        <v>0</v>
      </c>
      <c r="D28" s="41"/>
      <c r="E28" s="41">
        <v>0</v>
      </c>
      <c r="F28" s="41"/>
    </row>
    <row r="29" spans="1:6" ht="14.15" customHeight="1" x14ac:dyDescent="0.25">
      <c r="B29" s="105" t="s">
        <v>1452</v>
      </c>
      <c r="C29" s="41">
        <v>4515</v>
      </c>
      <c r="D29" s="41"/>
      <c r="E29" s="41">
        <v>3318.8360000000002</v>
      </c>
      <c r="F29" s="41"/>
    </row>
    <row r="30" spans="1:6" ht="13.75" customHeight="1" x14ac:dyDescent="0.25">
      <c r="B30" s="105" t="s">
        <v>1070</v>
      </c>
      <c r="C30" s="41">
        <v>0</v>
      </c>
      <c r="D30" s="41"/>
      <c r="E30" s="41">
        <v>0</v>
      </c>
      <c r="F30" s="41"/>
    </row>
    <row r="31" spans="1:6" ht="14.15" customHeight="1" thickBot="1" x14ac:dyDescent="0.3">
      <c r="B31" s="93" t="s">
        <v>1071</v>
      </c>
      <c r="C31" s="42">
        <f>SUM(C25:C30)</f>
        <v>4515</v>
      </c>
      <c r="D31" s="41"/>
      <c r="E31" s="42">
        <f>SUM(E25:E30)</f>
        <v>3318.8360000000002</v>
      </c>
      <c r="F31" s="14"/>
    </row>
    <row r="32" spans="1:6" ht="13.75" customHeight="1" thickTop="1" x14ac:dyDescent="0.25">
      <c r="C32" s="21"/>
      <c r="D32" s="41"/>
      <c r="E32" s="21"/>
      <c r="F32" s="17"/>
    </row>
    <row r="33" spans="1:6" ht="14.15" customHeight="1" x14ac:dyDescent="0.25">
      <c r="B33" s="14" t="s">
        <v>994</v>
      </c>
      <c r="C33" s="22"/>
      <c r="D33" s="41"/>
      <c r="E33" s="22"/>
      <c r="F33" s="16"/>
    </row>
    <row r="34" spans="1:6" ht="14.15" customHeight="1" x14ac:dyDescent="0.25">
      <c r="B34" s="105" t="s">
        <v>1069</v>
      </c>
      <c r="C34" s="41">
        <v>0</v>
      </c>
      <c r="D34" s="41"/>
      <c r="E34" s="41">
        <v>0</v>
      </c>
      <c r="F34" s="17"/>
    </row>
    <row r="35" spans="1:6" ht="14.15" customHeight="1" x14ac:dyDescent="0.25">
      <c r="B35" s="105" t="s">
        <v>891</v>
      </c>
      <c r="C35" s="41">
        <v>0</v>
      </c>
      <c r="D35" s="41"/>
      <c r="E35" s="41">
        <v>0</v>
      </c>
      <c r="F35" s="17"/>
    </row>
    <row r="36" spans="1:6" ht="14.15" customHeight="1" x14ac:dyDescent="0.25">
      <c r="B36" s="105" t="s">
        <v>1452</v>
      </c>
      <c r="C36" s="41">
        <v>17326</v>
      </c>
      <c r="D36" s="41"/>
      <c r="E36" s="41">
        <v>15896.255999999999</v>
      </c>
      <c r="F36" s="17"/>
    </row>
    <row r="37" spans="1:6" ht="13.75" customHeight="1" x14ac:dyDescent="0.25">
      <c r="B37" s="105" t="s">
        <v>1070</v>
      </c>
      <c r="C37" s="41">
        <v>0</v>
      </c>
      <c r="D37" s="41"/>
      <c r="E37" s="41">
        <v>0</v>
      </c>
      <c r="F37" s="17"/>
    </row>
    <row r="38" spans="1:6" ht="14.15" customHeight="1" thickBot="1" x14ac:dyDescent="0.3">
      <c r="B38" s="93" t="s">
        <v>1072</v>
      </c>
      <c r="C38" s="42">
        <f>SUM(C34:C37)</f>
        <v>17326</v>
      </c>
      <c r="D38" s="41"/>
      <c r="E38" s="42">
        <f>SUM(E34:E37)</f>
        <v>15896.255999999999</v>
      </c>
      <c r="F38" s="14"/>
    </row>
    <row r="39" spans="1:6" ht="14.15" customHeight="1" thickTop="1" x14ac:dyDescent="0.25">
      <c r="B39" s="14"/>
      <c r="D39" s="41"/>
    </row>
    <row r="42" spans="1:6" ht="14.15" customHeight="1" x14ac:dyDescent="0.25">
      <c r="A42" s="1"/>
    </row>
    <row r="43" spans="1:6" ht="14.15" customHeight="1" x14ac:dyDescent="0.25">
      <c r="A43" s="1"/>
    </row>
    <row r="44" spans="1:6" ht="14.15" customHeight="1" x14ac:dyDescent="0.25">
      <c r="A44" s="1"/>
    </row>
    <row r="45" spans="1:6" ht="14.15" customHeight="1" x14ac:dyDescent="0.25">
      <c r="A45" s="1"/>
    </row>
    <row r="46" spans="1:6" ht="14.15" customHeight="1" x14ac:dyDescent="0.25">
      <c r="A46" s="1"/>
    </row>
    <row r="47" spans="1:6" ht="14.15" customHeight="1" x14ac:dyDescent="0.25">
      <c r="A47" s="1"/>
    </row>
    <row r="48" spans="1:6" ht="14.15" customHeight="1" x14ac:dyDescent="0.25">
      <c r="A48" s="1"/>
    </row>
    <row r="49" spans="1:1" ht="14.15" customHeight="1" x14ac:dyDescent="0.25">
      <c r="A49" s="1"/>
    </row>
    <row r="54" spans="1:1" ht="14.15" customHeight="1" x14ac:dyDescent="0.25">
      <c r="A54" s="1"/>
    </row>
    <row r="55" spans="1:1" ht="14.15" customHeight="1" x14ac:dyDescent="0.25">
      <c r="A55" s="1"/>
    </row>
    <row r="56" spans="1:1" ht="14.15" customHeight="1" x14ac:dyDescent="0.25">
      <c r="A56" s="1"/>
    </row>
  </sheetData>
  <customSheetViews>
    <customSheetView guid="{EDC1BD6E-863A-4FC6-A3A9-F32079F4F0C1}" topLeftCell="A37">
      <selection activeCell="N66" sqref="N66"/>
      <pageMargins left="0" right="0" top="0" bottom="0" header="0" footer="0"/>
      <pageSetup paperSize="9" orientation="portrait" verticalDpi="0" r:id="rId1"/>
    </customSheetView>
  </customSheetViews>
  <mergeCells count="1">
    <mergeCell ref="B19:E19"/>
  </mergeCells>
  <pageMargins left="0.7" right="0.7" top="0.75" bottom="0.75" header="0.3" footer="0.3"/>
  <pageSetup paperSize="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8">
    <tabColor rgb="FFFF0000"/>
  </sheetPr>
  <dimension ref="A1:I63"/>
  <sheetViews>
    <sheetView topLeftCell="A23" workbookViewId="0"/>
  </sheetViews>
  <sheetFormatPr defaultColWidth="9.1796875" defaultRowHeight="14.15" customHeight="1" x14ac:dyDescent="0.25"/>
  <cols>
    <col min="1" max="1" width="0.81640625" style="31" customWidth="1"/>
    <col min="2" max="2" width="62.26953125" style="1" customWidth="1"/>
    <col min="3" max="3" width="11.453125" style="1" customWidth="1"/>
    <col min="4" max="4" width="0.7265625" style="1" customWidth="1"/>
    <col min="5" max="5" width="11.453125" style="1" customWidth="1"/>
    <col min="6" max="16384" width="9.1796875" style="1"/>
  </cols>
  <sheetData>
    <row r="1" spans="1:9" s="245" customFormat="1" ht="14.15" hidden="1" customHeight="1" x14ac:dyDescent="0.25">
      <c r="A1" s="243">
        <f>'26-30 Provisions'!A1+0.1</f>
        <v>26.1</v>
      </c>
      <c r="B1" s="255" t="str">
        <f>"Note "&amp;A1&amp; " Clinical negligence liabilities"</f>
        <v>Note 26.1 Clinical negligence liabilities</v>
      </c>
      <c r="I1" s="268"/>
    </row>
    <row r="2" spans="1:9" s="245" customFormat="1" ht="8.9" hidden="1" customHeight="1" x14ac:dyDescent="0.25">
      <c r="A2" s="243"/>
    </row>
    <row r="3" spans="1:9" s="245" customFormat="1" ht="14.15" hidden="1" customHeight="1" x14ac:dyDescent="0.25">
      <c r="A3" s="243"/>
      <c r="B3" s="431" t="s">
        <v>1748</v>
      </c>
      <c r="C3" s="431"/>
      <c r="D3" s="431"/>
      <c r="E3" s="431"/>
    </row>
    <row r="4" spans="1:9" s="245" customFormat="1" ht="14.15" hidden="1" customHeight="1" x14ac:dyDescent="0.25">
      <c r="A4" s="243"/>
      <c r="B4" s="431"/>
      <c r="C4" s="431"/>
      <c r="D4" s="431"/>
      <c r="E4" s="431"/>
    </row>
    <row r="5" spans="1:9" s="245" customFormat="1" ht="19.149999999999999" hidden="1" customHeight="1" x14ac:dyDescent="0.25">
      <c r="A5" s="243"/>
    </row>
    <row r="6" spans="1:9" s="245" customFormat="1" ht="14.15" hidden="1" customHeight="1" x14ac:dyDescent="0.25">
      <c r="A6" s="243">
        <f>ROUNDDOWN(A1,0)+1</f>
        <v>27</v>
      </c>
      <c r="B6" s="255" t="str">
        <f>"Note "&amp;A6&amp; " Contingent assets and liabilities"</f>
        <v>Note 27 Contingent assets and liabilities</v>
      </c>
      <c r="C6" s="255"/>
      <c r="D6" s="255"/>
      <c r="E6" s="255"/>
    </row>
    <row r="7" spans="1:9" s="245" customFormat="1" ht="28.15" hidden="1" customHeight="1" x14ac:dyDescent="0.25">
      <c r="A7" s="243"/>
      <c r="C7" s="266" t="str">
        <f>TEXT(CurrentYearEnd, "d mmmm yyyy")</f>
        <v>31 March 2025</v>
      </c>
      <c r="D7" s="266"/>
      <c r="E7" s="266" t="str">
        <f>TEXT(ComparativeYearEnd, "d mmmm yyyy")</f>
        <v>31 March 2024</v>
      </c>
    </row>
    <row r="8" spans="1:9" s="245" customFormat="1" ht="14.15" hidden="1" customHeight="1" x14ac:dyDescent="0.25">
      <c r="A8" s="243"/>
      <c r="C8" s="266" t="s">
        <v>542</v>
      </c>
      <c r="D8" s="266"/>
      <c r="E8" s="266" t="s">
        <v>542</v>
      </c>
    </row>
    <row r="9" spans="1:9" s="245" customFormat="1" ht="14.15" hidden="1" customHeight="1" x14ac:dyDescent="0.25">
      <c r="A9" s="243"/>
      <c r="B9" s="255" t="s">
        <v>1102</v>
      </c>
      <c r="C9" s="327"/>
      <c r="D9" s="327"/>
      <c r="E9" s="327"/>
    </row>
    <row r="10" spans="1:9" s="245" customFormat="1" ht="14.15" hidden="1" customHeight="1" x14ac:dyDescent="0.25">
      <c r="A10" s="243"/>
      <c r="B10" s="216" t="s">
        <v>1103</v>
      </c>
      <c r="C10" s="218">
        <v>111</v>
      </c>
      <c r="D10" s="218"/>
      <c r="E10" s="218">
        <v>156</v>
      </c>
    </row>
    <row r="11" spans="1:9" s="245" customFormat="1" ht="13.75" hidden="1" customHeight="1" x14ac:dyDescent="0.25">
      <c r="A11" s="243"/>
      <c r="B11" s="216" t="s">
        <v>1104</v>
      </c>
      <c r="C11" s="218">
        <v>0</v>
      </c>
      <c r="D11" s="218"/>
      <c r="E11" s="218">
        <v>0</v>
      </c>
    </row>
    <row r="12" spans="1:9" s="245" customFormat="1" ht="14.15" hidden="1" customHeight="1" x14ac:dyDescent="0.25">
      <c r="A12" s="243"/>
      <c r="B12" s="216" t="s">
        <v>1095</v>
      </c>
      <c r="C12" s="218">
        <v>0</v>
      </c>
      <c r="D12" s="218"/>
      <c r="E12" s="218">
        <v>0</v>
      </c>
    </row>
    <row r="13" spans="1:9" s="245" customFormat="1" ht="14.15" hidden="1" customHeight="1" x14ac:dyDescent="0.25">
      <c r="A13" s="243"/>
      <c r="B13" s="216" t="s">
        <v>837</v>
      </c>
      <c r="C13" s="218">
        <v>0</v>
      </c>
      <c r="D13" s="218"/>
      <c r="E13" s="218">
        <v>0</v>
      </c>
    </row>
    <row r="14" spans="1:9" s="245" customFormat="1" ht="14.15" hidden="1" customHeight="1" x14ac:dyDescent="0.25">
      <c r="A14" s="243"/>
      <c r="B14" s="221" t="s">
        <v>1105</v>
      </c>
      <c r="C14" s="222">
        <f>SUM(C9:C13)</f>
        <v>111</v>
      </c>
      <c r="D14" s="218">
        <v>0</v>
      </c>
      <c r="E14" s="222">
        <f>SUM(E9:E13)</f>
        <v>156</v>
      </c>
    </row>
    <row r="15" spans="1:9" s="245" customFormat="1" ht="14.15" hidden="1" customHeight="1" x14ac:dyDescent="0.25">
      <c r="A15" s="243"/>
      <c r="B15" s="216" t="s">
        <v>1106</v>
      </c>
      <c r="C15" s="218">
        <v>0</v>
      </c>
      <c r="D15" s="218"/>
      <c r="E15" s="218">
        <v>0</v>
      </c>
    </row>
    <row r="16" spans="1:9" s="245" customFormat="1" ht="14.15" hidden="1" customHeight="1" thickBot="1" x14ac:dyDescent="0.3">
      <c r="A16" s="243"/>
      <c r="B16" s="221" t="s">
        <v>1107</v>
      </c>
      <c r="C16" s="290">
        <f>SUM(C14:C15)</f>
        <v>111</v>
      </c>
      <c r="D16" s="218"/>
      <c r="E16" s="290">
        <f>SUM(E14:E15)</f>
        <v>156</v>
      </c>
    </row>
    <row r="17" spans="1:5" s="245" customFormat="1" ht="14.15" hidden="1" customHeight="1" thickTop="1" x14ac:dyDescent="0.25">
      <c r="A17" s="243"/>
      <c r="B17" s="255" t="s">
        <v>1108</v>
      </c>
      <c r="C17" s="227">
        <v>0</v>
      </c>
      <c r="D17" s="218"/>
      <c r="E17" s="227">
        <v>0</v>
      </c>
    </row>
    <row r="18" spans="1:5" s="245" customFormat="1" ht="14.15" hidden="1" customHeight="1" x14ac:dyDescent="0.25">
      <c r="A18" s="243"/>
      <c r="D18" s="218"/>
    </row>
    <row r="19" spans="1:5" s="245" customFormat="1" ht="14.15" hidden="1" customHeight="1" x14ac:dyDescent="0.25">
      <c r="A19" s="243"/>
      <c r="B19" s="446" t="s">
        <v>1109</v>
      </c>
      <c r="C19" s="446"/>
      <c r="D19" s="446"/>
      <c r="E19" s="446"/>
    </row>
    <row r="20" spans="1:5" s="245" customFormat="1" ht="14.15" hidden="1" customHeight="1" x14ac:dyDescent="0.25">
      <c r="A20" s="243"/>
      <c r="B20" s="446"/>
      <c r="C20" s="446"/>
      <c r="D20" s="446"/>
      <c r="E20" s="446"/>
    </row>
    <row r="21" spans="1:5" s="245" customFormat="1" ht="14.15" hidden="1" customHeight="1" x14ac:dyDescent="0.25">
      <c r="A21" s="243"/>
      <c r="B21" s="446"/>
      <c r="C21" s="446"/>
      <c r="D21" s="446"/>
      <c r="E21" s="446"/>
    </row>
    <row r="22" spans="1:5" s="245" customFormat="1" ht="14.15" hidden="1" customHeight="1" x14ac:dyDescent="0.25">
      <c r="A22" s="243"/>
      <c r="B22" s="446"/>
      <c r="C22" s="446"/>
      <c r="D22" s="446"/>
      <c r="E22" s="446"/>
    </row>
    <row r="24" spans="1:5" ht="14.15" customHeight="1" x14ac:dyDescent="0.25">
      <c r="A24" s="31">
        <f>ROUNDDOWN(A6,0)+1</f>
        <v>28</v>
      </c>
      <c r="B24" s="14" t="str">
        <f>"Note "&amp;A24&amp; " Contractual capital commitments"</f>
        <v>Note 28 Contractual capital commitments</v>
      </c>
      <c r="C24" s="455"/>
      <c r="D24" s="455"/>
      <c r="E24" s="455"/>
    </row>
    <row r="25" spans="1:5" ht="28.15" customHeight="1" x14ac:dyDescent="0.25">
      <c r="C25" s="80" t="str">
        <f>TEXT(CurrentYearEnd, "d mmmm yyyy")</f>
        <v>31 March 2025</v>
      </c>
      <c r="D25" s="80"/>
      <c r="E25" s="80" t="str">
        <f>TEXT(ComparativeYearEnd, "d mmmm yyyy")</f>
        <v>31 March 2024</v>
      </c>
    </row>
    <row r="26" spans="1:5" ht="14.15" customHeight="1" x14ac:dyDescent="0.25">
      <c r="C26" s="39" t="s">
        <v>542</v>
      </c>
      <c r="D26" s="39"/>
      <c r="E26" s="39" t="s">
        <v>542</v>
      </c>
    </row>
    <row r="27" spans="1:5" ht="14.15" customHeight="1" x14ac:dyDescent="0.25">
      <c r="B27" s="105" t="s">
        <v>506</v>
      </c>
      <c r="C27" s="41">
        <v>11087</v>
      </c>
      <c r="D27" s="41"/>
      <c r="E27" s="41">
        <v>14193</v>
      </c>
    </row>
    <row r="28" spans="1:5" ht="14.15" customHeight="1" x14ac:dyDescent="0.25">
      <c r="B28" s="105" t="s">
        <v>505</v>
      </c>
      <c r="C28" s="41">
        <v>0</v>
      </c>
      <c r="D28" s="41"/>
      <c r="E28" s="41">
        <v>0</v>
      </c>
    </row>
    <row r="29" spans="1:5" ht="14.15" customHeight="1" thickBot="1" x14ac:dyDescent="0.3">
      <c r="B29" s="93" t="s">
        <v>541</v>
      </c>
      <c r="C29" s="42">
        <f>SUM(C27:C28)</f>
        <v>11087</v>
      </c>
      <c r="D29" s="41"/>
      <c r="E29" s="42">
        <f>SUM(E27:E28)</f>
        <v>14193</v>
      </c>
    </row>
    <row r="30" spans="1:5" ht="14.15" customHeight="1" thickTop="1" x14ac:dyDescent="0.25"/>
    <row r="32" spans="1:5" ht="14.15" customHeight="1" x14ac:dyDescent="0.25">
      <c r="A32" s="31">
        <f>ROUNDDOWN(A24,0)+1</f>
        <v>29</v>
      </c>
      <c r="B32" s="14" t="str">
        <f>"Note "&amp;A32&amp; " Other financial commitments"</f>
        <v>Note 29 Other financial commitments</v>
      </c>
      <c r="C32" s="455"/>
      <c r="D32" s="455"/>
      <c r="E32" s="455"/>
    </row>
    <row r="33" spans="1:5" ht="26.15" customHeight="1" x14ac:dyDescent="0.25">
      <c r="B33" s="459" t="s">
        <v>1110</v>
      </c>
      <c r="C33" s="459"/>
      <c r="D33" s="459"/>
      <c r="E33" s="459"/>
    </row>
    <row r="34" spans="1:5" ht="12.25" customHeight="1" x14ac:dyDescent="0.25">
      <c r="B34" s="14"/>
      <c r="C34" s="14"/>
      <c r="D34" s="14"/>
      <c r="E34" s="14"/>
    </row>
    <row r="35" spans="1:5" ht="27" customHeight="1" x14ac:dyDescent="0.25">
      <c r="C35" s="80" t="str">
        <f>TEXT(CurrentYearEnd, "d mmmm yyyy")</f>
        <v>31 March 2025</v>
      </c>
      <c r="D35" s="80"/>
      <c r="E35" s="80" t="str">
        <f>TEXT(ComparativeYearEnd, "d mmmm yyyy")</f>
        <v>31 March 2024</v>
      </c>
    </row>
    <row r="36" spans="1:5" ht="14.15" customHeight="1" x14ac:dyDescent="0.25">
      <c r="C36" s="39" t="s">
        <v>542</v>
      </c>
      <c r="D36" s="39"/>
      <c r="E36" s="39" t="s">
        <v>542</v>
      </c>
    </row>
    <row r="37" spans="1:5" ht="14.15" customHeight="1" x14ac:dyDescent="0.25">
      <c r="B37" s="105" t="s">
        <v>1111</v>
      </c>
      <c r="C37" s="41">
        <v>0</v>
      </c>
      <c r="E37" s="41">
        <v>0</v>
      </c>
    </row>
    <row r="38" spans="1:5" ht="14.15" customHeight="1" x14ac:dyDescent="0.25">
      <c r="B38" s="105" t="s">
        <v>1112</v>
      </c>
      <c r="C38" s="41">
        <v>0</v>
      </c>
      <c r="E38" s="41">
        <v>0</v>
      </c>
    </row>
    <row r="39" spans="1:5" ht="14.15" customHeight="1" x14ac:dyDescent="0.25">
      <c r="B39" s="105" t="s">
        <v>1113</v>
      </c>
      <c r="C39" s="41">
        <v>0</v>
      </c>
      <c r="E39" s="41">
        <v>0</v>
      </c>
    </row>
    <row r="40" spans="1:5" ht="14.15" customHeight="1" thickBot="1" x14ac:dyDescent="0.3">
      <c r="B40" s="13" t="s">
        <v>541</v>
      </c>
      <c r="C40" s="42">
        <f>SUM(C37:C39)</f>
        <v>0</v>
      </c>
      <c r="E40" s="42">
        <f>SUM(E37:E39)</f>
        <v>0</v>
      </c>
    </row>
    <row r="41" spans="1:5" ht="14.15" customHeight="1" thickTop="1" x14ac:dyDescent="0.25"/>
    <row r="42" spans="1:5" ht="39" customHeight="1" x14ac:dyDescent="0.25">
      <c r="B42" s="480" t="s">
        <v>1436</v>
      </c>
      <c r="C42" s="480"/>
      <c r="D42" s="480"/>
      <c r="E42" s="480"/>
    </row>
    <row r="48" spans="1:5" ht="14.15" customHeight="1" x14ac:dyDescent="0.25">
      <c r="A48" s="1"/>
    </row>
    <row r="49" spans="1:1" ht="14.15" customHeight="1" x14ac:dyDescent="0.25">
      <c r="A49" s="1"/>
    </row>
    <row r="50" spans="1:1" ht="14.15" customHeight="1" x14ac:dyDescent="0.25">
      <c r="A50" s="1"/>
    </row>
    <row r="51" spans="1:1" ht="14.15" customHeight="1" x14ac:dyDescent="0.25">
      <c r="A51" s="1"/>
    </row>
    <row r="52" spans="1:1" ht="14.15" customHeight="1" x14ac:dyDescent="0.25">
      <c r="A52" s="1"/>
    </row>
    <row r="53" spans="1:1" ht="14.15" customHeight="1" x14ac:dyDescent="0.25">
      <c r="A53" s="1"/>
    </row>
    <row r="54" spans="1:1" ht="14.15" customHeight="1" x14ac:dyDescent="0.25">
      <c r="A54" s="1"/>
    </row>
    <row r="55" spans="1:1" ht="14.15" customHeight="1" x14ac:dyDescent="0.25">
      <c r="A55" s="1"/>
    </row>
    <row r="56" spans="1:1" ht="14.15" customHeight="1" x14ac:dyDescent="0.25">
      <c r="A56" s="1"/>
    </row>
    <row r="61" spans="1:1" ht="14.15" customHeight="1" x14ac:dyDescent="0.25">
      <c r="A61" s="1"/>
    </row>
    <row r="62" spans="1:1" ht="14.15" customHeight="1" x14ac:dyDescent="0.25">
      <c r="A62" s="1"/>
    </row>
    <row r="63" spans="1:1" ht="14.15" customHeight="1" x14ac:dyDescent="0.25">
      <c r="A63" s="1"/>
    </row>
  </sheetData>
  <customSheetViews>
    <customSheetView guid="{EDC1BD6E-863A-4FC6-A3A9-F32079F4F0C1}">
      <selection activeCell="O41" sqref="O41"/>
      <pageMargins left="0" right="0" top="0" bottom="0" header="0" footer="0"/>
      <pageSetup paperSize="9" orientation="portrait" verticalDpi="0" r:id="rId1"/>
    </customSheetView>
  </customSheetViews>
  <mergeCells count="6">
    <mergeCell ref="B42:E42"/>
    <mergeCell ref="B33:E33"/>
    <mergeCell ref="B19:E22"/>
    <mergeCell ref="B3:E4"/>
    <mergeCell ref="C32:E32"/>
    <mergeCell ref="C24:E24"/>
  </mergeCells>
  <pageMargins left="0.7" right="0.7" top="0.75" bottom="0.75" header="0.3" footer="0.3"/>
  <pageSetup paperSize="9" orientation="portrait"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rgb="FFFF0000"/>
  </sheetPr>
  <dimension ref="A1:K40"/>
  <sheetViews>
    <sheetView workbookViewId="0"/>
  </sheetViews>
  <sheetFormatPr defaultColWidth="9.1796875" defaultRowHeight="11.5" x14ac:dyDescent="0.25"/>
  <cols>
    <col min="1" max="1" width="0.7265625" style="31" customWidth="1"/>
    <col min="2" max="2" width="64.1796875" style="1" customWidth="1"/>
    <col min="3" max="3" width="11.453125" style="1" customWidth="1"/>
    <col min="4" max="4" width="1.1796875" style="1" customWidth="1"/>
    <col min="5" max="5" width="9.7265625" style="1" customWidth="1"/>
    <col min="6" max="6" width="0.81640625" style="1" customWidth="1"/>
    <col min="7" max="7" width="8.453125" style="1" customWidth="1"/>
    <col min="8" max="8" width="0.81640625" style="1" customWidth="1"/>
    <col min="9" max="9" width="9.26953125" style="1" customWidth="1"/>
    <col min="10" max="10" width="0.81640625" style="1" customWidth="1"/>
    <col min="11" max="11" width="8.453125" style="1" customWidth="1"/>
    <col min="12" max="16384" width="9.1796875" style="1"/>
  </cols>
  <sheetData>
    <row r="1" spans="1:11" ht="14.15" customHeight="1" x14ac:dyDescent="0.25">
      <c r="A1" s="31">
        <f>ROUNDDOWN('PFI LIFT Other'!A31,0)+2</f>
        <v>33</v>
      </c>
      <c r="B1" s="14" t="str">
        <f>"Note "&amp;A1&amp; " Financial instruments"</f>
        <v>Note 33 Financial instruments</v>
      </c>
    </row>
    <row r="2" spans="1:11" ht="5.25" customHeight="1" x14ac:dyDescent="0.25">
      <c r="B2" s="14"/>
    </row>
    <row r="3" spans="1:11" ht="14.15" customHeight="1" x14ac:dyDescent="0.25">
      <c r="A3" s="31">
        <f>A1+0.1</f>
        <v>33.1</v>
      </c>
      <c r="B3" s="14" t="str">
        <f>"Note "&amp;A3&amp; " Financial risk management"</f>
        <v>Note 33.1 Financial risk management</v>
      </c>
    </row>
    <row r="4" spans="1:11" s="245" customFormat="1" ht="14.15" hidden="1" customHeight="1" x14ac:dyDescent="0.25">
      <c r="A4" s="243"/>
      <c r="B4" s="255"/>
    </row>
    <row r="5" spans="1:11" s="245" customFormat="1" ht="14.15" hidden="1" customHeight="1" x14ac:dyDescent="0.25">
      <c r="A5" s="243"/>
      <c r="B5" s="316" t="s">
        <v>1169</v>
      </c>
      <c r="C5" s="316"/>
      <c r="D5" s="316"/>
      <c r="E5" s="316"/>
      <c r="F5" s="316"/>
      <c r="G5" s="316"/>
      <c r="H5" s="316"/>
      <c r="I5" s="316"/>
      <c r="J5" s="316"/>
      <c r="K5" s="316"/>
    </row>
    <row r="6" spans="1:11" s="245" customFormat="1" ht="14.15" hidden="1" customHeight="1" x14ac:dyDescent="0.25">
      <c r="A6" s="243"/>
      <c r="B6" s="316"/>
      <c r="C6" s="316"/>
      <c r="D6" s="316"/>
      <c r="E6" s="316"/>
      <c r="F6" s="316"/>
      <c r="G6" s="316"/>
      <c r="H6" s="316"/>
      <c r="I6" s="316"/>
      <c r="J6" s="316"/>
      <c r="K6" s="316"/>
    </row>
    <row r="7" spans="1:11" s="245" customFormat="1" ht="14.15" hidden="1" customHeight="1" x14ac:dyDescent="0.25">
      <c r="A7" s="243"/>
      <c r="B7" s="316"/>
      <c r="C7" s="316"/>
      <c r="D7" s="316"/>
      <c r="E7" s="316"/>
      <c r="F7" s="316"/>
      <c r="G7" s="316"/>
      <c r="H7" s="316"/>
      <c r="I7" s="316"/>
      <c r="J7" s="316"/>
      <c r="K7" s="316"/>
    </row>
    <row r="8" spans="1:11" s="245" customFormat="1" ht="14.15" hidden="1" customHeight="1" x14ac:dyDescent="0.25">
      <c r="A8" s="243"/>
      <c r="B8" s="316"/>
      <c r="C8" s="316"/>
      <c r="D8" s="316"/>
      <c r="E8" s="316"/>
      <c r="F8" s="316"/>
      <c r="G8" s="316"/>
      <c r="H8" s="316"/>
      <c r="I8" s="316"/>
      <c r="J8" s="316"/>
      <c r="K8" s="316"/>
    </row>
    <row r="9" spans="1:11" s="245" customFormat="1" ht="14.15" hidden="1" customHeight="1" x14ac:dyDescent="0.25">
      <c r="A9" s="243"/>
      <c r="B9" s="316"/>
      <c r="C9" s="316"/>
      <c r="D9" s="316"/>
      <c r="E9" s="316"/>
      <c r="F9" s="316"/>
      <c r="G9" s="316"/>
      <c r="H9" s="316"/>
      <c r="I9" s="316"/>
      <c r="J9" s="316"/>
      <c r="K9" s="316"/>
    </row>
    <row r="10" spans="1:11" s="245" customFormat="1" ht="14.15" hidden="1" customHeight="1" x14ac:dyDescent="0.25">
      <c r="A10" s="243"/>
      <c r="B10" s="316"/>
      <c r="C10" s="316"/>
      <c r="D10" s="316"/>
      <c r="E10" s="316"/>
      <c r="F10" s="316"/>
      <c r="G10" s="316"/>
      <c r="H10" s="316"/>
      <c r="I10" s="316"/>
      <c r="J10" s="316"/>
      <c r="K10" s="316"/>
    </row>
    <row r="11" spans="1:11" s="245" customFormat="1" ht="14.15" hidden="1" customHeight="1" x14ac:dyDescent="0.25">
      <c r="A11" s="243"/>
      <c r="B11" s="316"/>
      <c r="C11" s="316"/>
      <c r="D11" s="316"/>
      <c r="E11" s="316"/>
      <c r="F11" s="316"/>
      <c r="G11" s="316"/>
      <c r="H11" s="316"/>
      <c r="I11" s="316"/>
      <c r="J11" s="316"/>
      <c r="K11" s="316"/>
    </row>
    <row r="12" spans="1:11" s="245" customFormat="1" ht="14.15" hidden="1" customHeight="1" x14ac:dyDescent="0.25">
      <c r="A12" s="243"/>
      <c r="B12" s="316"/>
      <c r="C12" s="316"/>
      <c r="D12" s="316"/>
      <c r="E12" s="316"/>
      <c r="F12" s="316"/>
      <c r="G12" s="316"/>
      <c r="H12" s="316"/>
      <c r="I12" s="316"/>
      <c r="J12" s="316"/>
      <c r="K12" s="316"/>
    </row>
    <row r="13" spans="1:11" s="245" customFormat="1" ht="14.15" hidden="1" customHeight="1" x14ac:dyDescent="0.25">
      <c r="A13" s="243"/>
      <c r="B13" s="316" t="s">
        <v>1170</v>
      </c>
      <c r="C13" s="316"/>
      <c r="D13" s="316"/>
      <c r="E13" s="316"/>
      <c r="F13" s="316"/>
      <c r="G13" s="316"/>
      <c r="H13" s="316"/>
      <c r="I13" s="316"/>
      <c r="J13" s="316"/>
      <c r="K13" s="316"/>
    </row>
    <row r="14" spans="1:11" s="245" customFormat="1" ht="14.15" hidden="1" customHeight="1" x14ac:dyDescent="0.25">
      <c r="A14" s="243"/>
      <c r="B14" s="316"/>
      <c r="C14" s="316"/>
      <c r="D14" s="316"/>
      <c r="E14" s="316"/>
      <c r="F14" s="316"/>
      <c r="G14" s="316"/>
      <c r="H14" s="316"/>
      <c r="I14" s="316"/>
      <c r="J14" s="316"/>
      <c r="K14" s="316"/>
    </row>
    <row r="15" spans="1:11" s="245" customFormat="1" ht="14.15" hidden="1" customHeight="1" x14ac:dyDescent="0.25">
      <c r="A15" s="243"/>
      <c r="B15" s="316"/>
      <c r="C15" s="316"/>
      <c r="D15" s="316"/>
      <c r="E15" s="316"/>
      <c r="F15" s="316"/>
      <c r="G15" s="316"/>
      <c r="H15" s="316"/>
      <c r="I15" s="316"/>
      <c r="J15" s="316"/>
      <c r="K15" s="316"/>
    </row>
    <row r="16" spans="1:11" s="245" customFormat="1" ht="17.5" hidden="1" customHeight="1" x14ac:dyDescent="0.25">
      <c r="A16" s="243"/>
      <c r="B16" s="316"/>
      <c r="C16" s="316"/>
      <c r="D16" s="316"/>
      <c r="E16" s="316"/>
      <c r="F16" s="316"/>
      <c r="G16" s="316"/>
      <c r="H16" s="316"/>
      <c r="I16" s="316"/>
      <c r="J16" s="316"/>
      <c r="K16" s="316"/>
    </row>
    <row r="17" spans="1:11" s="245" customFormat="1" hidden="1" x14ac:dyDescent="0.25">
      <c r="A17" s="243"/>
    </row>
    <row r="18" spans="1:11" s="245" customFormat="1" ht="38.15" hidden="1" customHeight="1" x14ac:dyDescent="0.25">
      <c r="A18" s="243"/>
      <c r="B18" s="251" t="s">
        <v>1171</v>
      </c>
      <c r="C18" s="251"/>
      <c r="D18" s="251"/>
      <c r="E18" s="251"/>
      <c r="F18" s="251"/>
      <c r="G18" s="251"/>
      <c r="H18" s="251"/>
      <c r="I18" s="251"/>
      <c r="J18" s="251"/>
      <c r="K18" s="251"/>
    </row>
    <row r="19" spans="1:11" s="245" customFormat="1" hidden="1" x14ac:dyDescent="0.25">
      <c r="A19" s="243"/>
    </row>
    <row r="20" spans="1:11" ht="42" customHeight="1" x14ac:dyDescent="0.25">
      <c r="B20" s="453" t="s">
        <v>1678</v>
      </c>
      <c r="C20" s="453"/>
      <c r="D20" s="453"/>
      <c r="E20" s="453"/>
      <c r="F20" s="453"/>
    </row>
    <row r="21" spans="1:11" ht="13" x14ac:dyDescent="0.3">
      <c r="B21" s="298"/>
      <c r="C21" s="273"/>
      <c r="D21" s="273"/>
      <c r="E21" s="273"/>
      <c r="F21" s="273"/>
    </row>
    <row r="22" spans="1:11" ht="13" x14ac:dyDescent="0.3">
      <c r="B22" s="338" t="s">
        <v>1679</v>
      </c>
      <c r="C22" s="273"/>
      <c r="D22" s="273"/>
      <c r="E22" s="273"/>
      <c r="F22" s="273"/>
    </row>
    <row r="23" spans="1:11" ht="49.5" customHeight="1" x14ac:dyDescent="0.25">
      <c r="B23" s="453" t="s">
        <v>1680</v>
      </c>
      <c r="C23" s="453"/>
      <c r="D23" s="453"/>
      <c r="E23" s="453"/>
      <c r="F23" s="453"/>
    </row>
    <row r="24" spans="1:11" ht="12.5" x14ac:dyDescent="0.25">
      <c r="B24" s="273"/>
      <c r="C24" s="273"/>
      <c r="D24" s="273"/>
      <c r="E24" s="273"/>
      <c r="F24" s="273"/>
    </row>
    <row r="25" spans="1:11" ht="13" x14ac:dyDescent="0.3">
      <c r="B25" s="338" t="s">
        <v>1681</v>
      </c>
      <c r="C25" s="273"/>
      <c r="D25" s="273"/>
      <c r="E25" s="273"/>
      <c r="F25" s="273"/>
    </row>
    <row r="26" spans="1:11" ht="12.5" x14ac:dyDescent="0.25">
      <c r="B26" s="273"/>
      <c r="C26" s="273"/>
      <c r="D26" s="273"/>
      <c r="E26" s="273"/>
      <c r="F26" s="273"/>
    </row>
    <row r="27" spans="1:11" ht="39.75" customHeight="1" x14ac:dyDescent="0.25">
      <c r="B27" s="501" t="s">
        <v>1682</v>
      </c>
      <c r="C27" s="501"/>
      <c r="D27" s="501"/>
      <c r="E27" s="501"/>
      <c r="F27" s="501"/>
    </row>
    <row r="28" spans="1:11" ht="12.5" x14ac:dyDescent="0.25">
      <c r="B28" s="273"/>
      <c r="C28" s="273"/>
      <c r="D28" s="273"/>
      <c r="E28" s="273"/>
      <c r="F28" s="273"/>
    </row>
    <row r="29" spans="1:11" ht="39.75" customHeight="1" x14ac:dyDescent="0.25">
      <c r="B29" s="501" t="s">
        <v>1683</v>
      </c>
      <c r="C29" s="501"/>
      <c r="D29" s="501"/>
      <c r="E29" s="501"/>
      <c r="F29" s="501"/>
    </row>
    <row r="30" spans="1:11" ht="12.5" x14ac:dyDescent="0.25">
      <c r="B30" s="339"/>
      <c r="C30" s="340"/>
      <c r="D30" s="340"/>
      <c r="E30" s="340"/>
      <c r="F30" s="273"/>
    </row>
    <row r="31" spans="1:11" ht="12.5" hidden="1" x14ac:dyDescent="0.25">
      <c r="B31" s="502" t="s">
        <v>1684</v>
      </c>
      <c r="C31" s="502"/>
      <c r="D31" s="502"/>
      <c r="E31" s="502"/>
      <c r="F31" s="341"/>
    </row>
    <row r="32" spans="1:11" ht="12.5" hidden="1" x14ac:dyDescent="0.25">
      <c r="B32" s="341"/>
      <c r="C32" s="341"/>
      <c r="D32" s="341"/>
      <c r="E32" s="341"/>
      <c r="F32" s="341"/>
    </row>
    <row r="33" spans="2:6" ht="13" x14ac:dyDescent="0.3">
      <c r="B33" s="338" t="s">
        <v>1685</v>
      </c>
      <c r="C33" s="340"/>
      <c r="D33" s="340"/>
      <c r="E33" s="340"/>
      <c r="F33" s="273"/>
    </row>
    <row r="34" spans="2:6" ht="41.25" customHeight="1" x14ac:dyDescent="0.25">
      <c r="B34" s="503" t="s">
        <v>1686</v>
      </c>
      <c r="C34" s="503"/>
      <c r="D34" s="503"/>
      <c r="E34" s="503"/>
      <c r="F34" s="503"/>
    </row>
    <row r="35" spans="2:6" ht="12.5" x14ac:dyDescent="0.25">
      <c r="B35" s="273"/>
      <c r="C35" s="273"/>
      <c r="D35" s="273"/>
      <c r="E35" s="273"/>
      <c r="F35" s="273"/>
    </row>
    <row r="36" spans="2:6" ht="13" x14ac:dyDescent="0.3">
      <c r="B36" s="342" t="s">
        <v>1687</v>
      </c>
      <c r="C36" s="340"/>
      <c r="D36" s="340"/>
      <c r="E36" s="340"/>
      <c r="F36" s="273"/>
    </row>
    <row r="37" spans="2:6" ht="38.25" customHeight="1" x14ac:dyDescent="0.25">
      <c r="B37" s="501" t="s">
        <v>1688</v>
      </c>
      <c r="C37" s="501"/>
      <c r="D37" s="501"/>
      <c r="E37" s="501"/>
      <c r="F37" s="501"/>
    </row>
    <row r="39" spans="2:6" ht="17.25" customHeight="1" x14ac:dyDescent="0.3">
      <c r="B39" s="342" t="s">
        <v>1687</v>
      </c>
      <c r="C39" s="340"/>
      <c r="D39" s="340"/>
      <c r="E39" s="340"/>
      <c r="F39" s="273"/>
    </row>
    <row r="40" spans="2:6" ht="47.25" customHeight="1" x14ac:dyDescent="0.25">
      <c r="B40" s="501" t="s">
        <v>1688</v>
      </c>
      <c r="C40" s="501"/>
      <c r="D40" s="501"/>
      <c r="E40" s="501"/>
      <c r="F40" s="501"/>
    </row>
  </sheetData>
  <mergeCells count="8">
    <mergeCell ref="B20:F20"/>
    <mergeCell ref="B23:F23"/>
    <mergeCell ref="B40:F40"/>
    <mergeCell ref="B27:F27"/>
    <mergeCell ref="B29:F29"/>
    <mergeCell ref="B31:E31"/>
    <mergeCell ref="B34:F34"/>
    <mergeCell ref="B37:F37"/>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E46C4-F9ED-452F-8D60-FD70920767D8}">
  <sheetPr codeName="Sheet25">
    <tabColor rgb="FFFF0000"/>
  </sheetPr>
  <dimension ref="A1:P75"/>
  <sheetViews>
    <sheetView workbookViewId="0"/>
  </sheetViews>
  <sheetFormatPr defaultColWidth="9.1796875" defaultRowHeight="14.15" customHeight="1" x14ac:dyDescent="0.25"/>
  <cols>
    <col min="1" max="1" width="0.7265625" style="31" customWidth="1"/>
    <col min="2" max="2" width="41.7265625" style="1" customWidth="1"/>
    <col min="3" max="4" width="9" style="1" customWidth="1"/>
    <col min="5" max="5" width="8.81640625" style="1" customWidth="1"/>
    <col min="6" max="6" width="9" style="1" customWidth="1"/>
    <col min="7" max="7" width="8.81640625" style="1" customWidth="1"/>
    <col min="8" max="15" width="9.1796875" style="1"/>
    <col min="16" max="16" width="12.1796875" style="1" customWidth="1"/>
    <col min="17" max="16384" width="9.1796875" style="1"/>
  </cols>
  <sheetData>
    <row r="1" spans="1:16" ht="14.15" customHeight="1" thickBot="1" x14ac:dyDescent="0.3">
      <c r="A1" s="31">
        <f>'OL &amp; Borrowings'!A21+0.1</f>
        <v>25.200000000000003</v>
      </c>
      <c r="B1" s="93" t="str">
        <f>"Note "&amp; A1&amp; " Reconciliation of liabilities arising from financing activities"</f>
        <v>Note 25.2 Reconciliation of liabilities arising from financing activities</v>
      </c>
      <c r="C1" s="151"/>
      <c r="D1" s="93"/>
      <c r="E1" s="14"/>
      <c r="F1" s="14"/>
      <c r="H1" s="158" t="s">
        <v>1073</v>
      </c>
      <c r="I1" s="158"/>
      <c r="J1" s="158"/>
      <c r="K1" s="158"/>
      <c r="L1" s="158"/>
      <c r="M1" s="158"/>
      <c r="N1" s="158"/>
      <c r="O1" s="158"/>
      <c r="P1" s="160"/>
    </row>
    <row r="2" spans="1:16" ht="6.4" customHeight="1" x14ac:dyDescent="0.25">
      <c r="B2" s="93"/>
      <c r="C2" s="151"/>
      <c r="D2" s="93"/>
      <c r="E2" s="14"/>
      <c r="F2" s="14"/>
    </row>
    <row r="3" spans="1:16" ht="34.5" x14ac:dyDescent="0.25">
      <c r="B3" s="14"/>
      <c r="C3" s="80" t="s">
        <v>1069</v>
      </c>
      <c r="D3" s="80" t="s">
        <v>891</v>
      </c>
      <c r="E3" s="80" t="s">
        <v>1480</v>
      </c>
      <c r="F3" s="80" t="s">
        <v>1074</v>
      </c>
      <c r="G3" s="80" t="s">
        <v>541</v>
      </c>
      <c r="H3" s="100"/>
    </row>
    <row r="4" spans="1:16" ht="14.15" customHeight="1" x14ac:dyDescent="0.25">
      <c r="B4" s="14"/>
      <c r="C4" s="80" t="s">
        <v>542</v>
      </c>
      <c r="D4" s="80" t="s">
        <v>542</v>
      </c>
      <c r="E4" s="80" t="s">
        <v>542</v>
      </c>
      <c r="F4" s="80" t="s">
        <v>542</v>
      </c>
      <c r="G4" s="80" t="s">
        <v>542</v>
      </c>
    </row>
    <row r="5" spans="1:16" ht="14.15" customHeight="1" x14ac:dyDescent="0.25">
      <c r="B5" s="14" t="str">
        <f>"Carrying value at " &amp; TEXT(CurrentYearStart,"d mmmm yyyy")</f>
        <v>Carrying value at 1 April 2024</v>
      </c>
      <c r="C5" s="50">
        <f>C43</f>
        <v>0</v>
      </c>
      <c r="D5" s="50">
        <f>D43</f>
        <v>0</v>
      </c>
      <c r="E5" s="50">
        <f>E43</f>
        <v>19215</v>
      </c>
      <c r="F5" s="50">
        <f>F43</f>
        <v>0</v>
      </c>
      <c r="G5" s="50">
        <f>SUM(C5:F5)</f>
        <v>19215</v>
      </c>
    </row>
    <row r="6" spans="1:16" ht="14.15" hidden="1" customHeight="1" x14ac:dyDescent="0.25">
      <c r="B6" s="142" t="s">
        <v>944</v>
      </c>
      <c r="C6" s="50">
        <v>0</v>
      </c>
      <c r="D6" s="50">
        <v>0</v>
      </c>
      <c r="E6" s="50">
        <v>0</v>
      </c>
      <c r="F6" s="50">
        <v>0</v>
      </c>
      <c r="G6" s="50">
        <f>SUM(C6:F6)</f>
        <v>0</v>
      </c>
      <c r="I6" s="166" t="s">
        <v>544</v>
      </c>
    </row>
    <row r="7" spans="1:16" ht="13.75" customHeight="1" x14ac:dyDescent="0.25">
      <c r="B7" s="14" t="s">
        <v>1075</v>
      </c>
      <c r="C7" s="41"/>
      <c r="D7" s="41"/>
      <c r="E7" s="41"/>
      <c r="F7" s="41"/>
      <c r="G7" s="50"/>
    </row>
    <row r="8" spans="1:16" ht="24.4" customHeight="1" x14ac:dyDescent="0.25">
      <c r="B8" s="105" t="s">
        <v>1076</v>
      </c>
      <c r="C8" s="41">
        <v>0</v>
      </c>
      <c r="D8" s="41">
        <v>0</v>
      </c>
      <c r="E8" s="41">
        <v>-3064</v>
      </c>
      <c r="F8" s="41">
        <v>0</v>
      </c>
      <c r="G8" s="50">
        <f>SUM(C8:F8)</f>
        <v>-3064</v>
      </c>
    </row>
    <row r="9" spans="1:16" ht="14.15" customHeight="1" x14ac:dyDescent="0.25">
      <c r="B9" s="105" t="s">
        <v>1077</v>
      </c>
      <c r="C9" s="41">
        <v>0</v>
      </c>
      <c r="D9" s="41">
        <v>0</v>
      </c>
      <c r="E9" s="41">
        <v>-285</v>
      </c>
      <c r="F9" s="41">
        <v>0</v>
      </c>
      <c r="G9" s="50">
        <f>SUM(C9:F9)</f>
        <v>-285</v>
      </c>
    </row>
    <row r="10" spans="1:16" ht="13.75" customHeight="1" x14ac:dyDescent="0.25">
      <c r="B10" s="14" t="s">
        <v>1078</v>
      </c>
      <c r="C10" s="41"/>
      <c r="D10" s="41"/>
      <c r="E10" s="41"/>
      <c r="F10" s="41"/>
      <c r="G10" s="50"/>
    </row>
    <row r="11" spans="1:16" ht="13.75" customHeight="1" x14ac:dyDescent="0.25">
      <c r="B11" s="105" t="s">
        <v>927</v>
      </c>
      <c r="C11" s="41">
        <v>0</v>
      </c>
      <c r="D11" s="41">
        <v>0</v>
      </c>
      <c r="E11" s="41">
        <v>0</v>
      </c>
      <c r="F11" s="41">
        <v>0</v>
      </c>
      <c r="G11" s="50">
        <f t="shared" ref="G11:G19" si="0">SUM(C11:F11)</f>
        <v>0</v>
      </c>
    </row>
    <row r="12" spans="1:16" ht="13.75" customHeight="1" x14ac:dyDescent="0.25">
      <c r="B12" s="105" t="s">
        <v>920</v>
      </c>
      <c r="C12" s="41">
        <v>0</v>
      </c>
      <c r="D12" s="41">
        <v>0</v>
      </c>
      <c r="E12" s="41">
        <v>2662</v>
      </c>
      <c r="F12" s="41">
        <v>0</v>
      </c>
      <c r="G12" s="50">
        <f t="shared" si="0"/>
        <v>2662</v>
      </c>
    </row>
    <row r="13" spans="1:16" ht="13.75" customHeight="1" x14ac:dyDescent="0.25">
      <c r="B13" s="105" t="s">
        <v>1325</v>
      </c>
      <c r="C13" s="41">
        <v>0</v>
      </c>
      <c r="D13" s="41">
        <v>0</v>
      </c>
      <c r="E13" s="41">
        <v>3829</v>
      </c>
      <c r="F13" s="41">
        <v>0</v>
      </c>
      <c r="G13" s="50">
        <f t="shared" ref="G13:G14" si="1">SUM(C13:F13)</f>
        <v>3829</v>
      </c>
    </row>
    <row r="14" spans="1:16" ht="24.75" customHeight="1" x14ac:dyDescent="0.25">
      <c r="B14" s="105" t="s">
        <v>1475</v>
      </c>
      <c r="C14" s="41"/>
      <c r="D14" s="41"/>
      <c r="E14" s="41"/>
      <c r="F14" s="41">
        <v>0</v>
      </c>
      <c r="G14" s="50">
        <f t="shared" si="1"/>
        <v>0</v>
      </c>
    </row>
    <row r="15" spans="1:16" ht="13.75" customHeight="1" x14ac:dyDescent="0.25">
      <c r="B15" s="105" t="s">
        <v>1079</v>
      </c>
      <c r="C15" s="41">
        <v>0</v>
      </c>
      <c r="D15" s="41">
        <v>0</v>
      </c>
      <c r="E15" s="41">
        <v>285</v>
      </c>
      <c r="F15" s="41">
        <v>0</v>
      </c>
      <c r="G15" s="50">
        <f t="shared" si="0"/>
        <v>285</v>
      </c>
    </row>
    <row r="16" spans="1:16" ht="13.75" customHeight="1" x14ac:dyDescent="0.25">
      <c r="B16" s="105" t="s">
        <v>1080</v>
      </c>
      <c r="C16" s="41">
        <v>0</v>
      </c>
      <c r="D16" s="41">
        <v>0</v>
      </c>
      <c r="E16" s="41">
        <v>0</v>
      </c>
      <c r="F16" s="41">
        <v>0</v>
      </c>
      <c r="G16" s="50">
        <f t="shared" si="0"/>
        <v>0</v>
      </c>
    </row>
    <row r="17" spans="2:9" ht="13.75" customHeight="1" x14ac:dyDescent="0.25">
      <c r="B17" s="105" t="s">
        <v>1081</v>
      </c>
      <c r="C17" s="41">
        <v>0</v>
      </c>
      <c r="D17" s="41">
        <v>0</v>
      </c>
      <c r="E17" s="41">
        <v>0</v>
      </c>
      <c r="F17" s="41">
        <v>0</v>
      </c>
      <c r="G17" s="50">
        <f t="shared" si="0"/>
        <v>0</v>
      </c>
    </row>
    <row r="18" spans="2:9" ht="13.75" customHeight="1" x14ac:dyDescent="0.25">
      <c r="B18" s="105" t="s">
        <v>1082</v>
      </c>
      <c r="C18" s="41">
        <v>0</v>
      </c>
      <c r="D18" s="41">
        <v>0</v>
      </c>
      <c r="E18" s="41">
        <v>-801</v>
      </c>
      <c r="F18" s="41">
        <v>0</v>
      </c>
      <c r="G18" s="50">
        <f t="shared" si="0"/>
        <v>-801</v>
      </c>
    </row>
    <row r="19" spans="2:9" ht="13.75" customHeight="1" x14ac:dyDescent="0.25">
      <c r="B19" s="105" t="s">
        <v>1083</v>
      </c>
      <c r="C19" s="41">
        <v>0</v>
      </c>
      <c r="D19" s="41">
        <v>0</v>
      </c>
      <c r="E19" s="41">
        <v>0</v>
      </c>
      <c r="F19" s="41">
        <v>0</v>
      </c>
      <c r="G19" s="50">
        <f t="shared" si="0"/>
        <v>0</v>
      </c>
      <c r="H19" s="152"/>
    </row>
    <row r="20" spans="2:9" ht="14.15" customHeight="1" thickBot="1" x14ac:dyDescent="0.3">
      <c r="B20" s="14" t="str">
        <f>"Carrying value at " &amp; TEXT(CurrentYearEnd,"d mmmm yyyy")</f>
        <v>Carrying value at 31 March 2025</v>
      </c>
      <c r="C20" s="42">
        <f>SUM(C5:C19)</f>
        <v>0</v>
      </c>
      <c r="D20" s="42">
        <f>SUM(D5:D19)</f>
        <v>0</v>
      </c>
      <c r="E20" s="42">
        <f>SUM(E5:E19)</f>
        <v>21841</v>
      </c>
      <c r="F20" s="42">
        <f>SUM(F5:F19)</f>
        <v>0</v>
      </c>
      <c r="G20" s="42">
        <f>SUM(G5:G19)</f>
        <v>21841</v>
      </c>
    </row>
    <row r="21" spans="2:9" ht="14.15" customHeight="1" thickTop="1" x14ac:dyDescent="0.25"/>
    <row r="22" spans="2:9" ht="7" customHeight="1" x14ac:dyDescent="0.25"/>
    <row r="23" spans="2:9" ht="34.5" x14ac:dyDescent="0.25">
      <c r="B23" s="14"/>
      <c r="C23" s="80" t="s">
        <v>1069</v>
      </c>
      <c r="D23" s="80" t="s">
        <v>891</v>
      </c>
      <c r="E23" s="80" t="s">
        <v>1480</v>
      </c>
      <c r="F23" s="80" t="s">
        <v>1074</v>
      </c>
      <c r="G23" s="80" t="s">
        <v>541</v>
      </c>
    </row>
    <row r="24" spans="2:9" ht="14.15" customHeight="1" x14ac:dyDescent="0.25">
      <c r="B24" s="14"/>
      <c r="C24" s="80" t="s">
        <v>542</v>
      </c>
      <c r="D24" s="80" t="s">
        <v>542</v>
      </c>
      <c r="E24" s="80" t="s">
        <v>542</v>
      </c>
      <c r="F24" s="80" t="s">
        <v>542</v>
      </c>
      <c r="G24" s="80" t="s">
        <v>542</v>
      </c>
    </row>
    <row r="25" spans="2:9" ht="14.15" customHeight="1" x14ac:dyDescent="0.25">
      <c r="B25" s="14" t="str">
        <f>"Carrying value at " &amp; TEXT(ComparativeYearStart,"d mmmm yyyy")</f>
        <v>Carrying value at 1 April 2023</v>
      </c>
      <c r="C25" s="50">
        <v>0</v>
      </c>
      <c r="D25" s="50">
        <v>0</v>
      </c>
      <c r="E25" s="50">
        <v>19987</v>
      </c>
      <c r="F25" s="50">
        <v>0</v>
      </c>
      <c r="G25" s="50">
        <f>SUM(C25:F25)</f>
        <v>19987</v>
      </c>
    </row>
    <row r="26" spans="2:9" ht="14.15" customHeight="1" x14ac:dyDescent="0.25">
      <c r="B26" s="123" t="s">
        <v>558</v>
      </c>
      <c r="C26" s="41">
        <v>0</v>
      </c>
      <c r="D26" s="41">
        <v>0</v>
      </c>
      <c r="E26" s="41">
        <v>0</v>
      </c>
      <c r="F26" s="41">
        <v>0</v>
      </c>
      <c r="G26" s="50">
        <f>SUM(C26:F26)</f>
        <v>0</v>
      </c>
    </row>
    <row r="27" spans="2:9" ht="14.15" customHeight="1" x14ac:dyDescent="0.25">
      <c r="B27" s="14" t="str">
        <f>"Carrying value at " &amp; TEXT(ComparativeYearStart,"d mmmm yyyy")&amp;" - restated"</f>
        <v>Carrying value at 1 April 2023 - restated</v>
      </c>
      <c r="C27" s="43">
        <f>SUM(C25:C26)</f>
        <v>0</v>
      </c>
      <c r="D27" s="43">
        <f t="shared" ref="D27:F27" si="2">SUM(D25:D26)</f>
        <v>0</v>
      </c>
      <c r="E27" s="43">
        <f t="shared" si="2"/>
        <v>19987</v>
      </c>
      <c r="F27" s="43">
        <f t="shared" si="2"/>
        <v>0</v>
      </c>
      <c r="G27" s="43">
        <f>SUM(G25:G26)</f>
        <v>19987</v>
      </c>
    </row>
    <row r="28" spans="2:9" ht="14.15" hidden="1" customHeight="1" x14ac:dyDescent="0.25">
      <c r="B28" s="142" t="s">
        <v>944</v>
      </c>
      <c r="C28" s="50">
        <v>0</v>
      </c>
      <c r="D28" s="50">
        <v>0</v>
      </c>
      <c r="E28" s="50">
        <v>0</v>
      </c>
      <c r="F28" s="50">
        <v>0</v>
      </c>
      <c r="G28" s="50">
        <f>SUM(C28:F28)</f>
        <v>0</v>
      </c>
      <c r="I28" s="166" t="s">
        <v>544</v>
      </c>
    </row>
    <row r="29" spans="2:9" ht="13.75" customHeight="1" x14ac:dyDescent="0.25">
      <c r="B29" s="14" t="s">
        <v>1075</v>
      </c>
      <c r="C29" s="41"/>
      <c r="D29" s="41"/>
      <c r="E29" s="41"/>
      <c r="F29" s="41"/>
      <c r="G29" s="50"/>
    </row>
    <row r="30" spans="2:9" ht="24.4" customHeight="1" x14ac:dyDescent="0.25">
      <c r="B30" s="105" t="s">
        <v>1076</v>
      </c>
      <c r="C30" s="41">
        <v>0</v>
      </c>
      <c r="D30" s="41">
        <v>0</v>
      </c>
      <c r="E30" s="41">
        <v>-3181</v>
      </c>
      <c r="F30" s="41">
        <v>0</v>
      </c>
      <c r="G30" s="50">
        <f>SUM(C30:F30)</f>
        <v>-3181</v>
      </c>
    </row>
    <row r="31" spans="2:9" ht="14.15" customHeight="1" x14ac:dyDescent="0.25">
      <c r="B31" s="105" t="s">
        <v>1077</v>
      </c>
      <c r="C31" s="41">
        <v>0</v>
      </c>
      <c r="D31" s="41">
        <v>0</v>
      </c>
      <c r="E31" s="41">
        <v>-191</v>
      </c>
      <c r="F31" s="41">
        <v>0</v>
      </c>
      <c r="G31" s="50">
        <f>SUM(C31:F31)</f>
        <v>-191</v>
      </c>
    </row>
    <row r="32" spans="2:9" ht="13.75" customHeight="1" x14ac:dyDescent="0.25">
      <c r="B32" s="14" t="s">
        <v>1078</v>
      </c>
      <c r="C32" s="41"/>
      <c r="D32" s="41"/>
      <c r="E32" s="41"/>
      <c r="F32" s="41"/>
      <c r="G32" s="50"/>
    </row>
    <row r="33" spans="1:8" ht="26.15" customHeight="1" x14ac:dyDescent="0.25">
      <c r="B33" s="105" t="s">
        <v>1446</v>
      </c>
      <c r="C33" s="41"/>
      <c r="D33" s="41"/>
      <c r="E33" s="41"/>
      <c r="F33" s="41">
        <v>0</v>
      </c>
      <c r="G33" s="50">
        <f t="shared" ref="G33:G42" si="3">SUM(C33:F33)</f>
        <v>0</v>
      </c>
    </row>
    <row r="34" spans="1:8" ht="13.75" customHeight="1" x14ac:dyDescent="0.25">
      <c r="B34" s="105" t="s">
        <v>927</v>
      </c>
      <c r="C34" s="41">
        <v>0</v>
      </c>
      <c r="D34" s="41">
        <v>0</v>
      </c>
      <c r="E34" s="41">
        <v>0</v>
      </c>
      <c r="F34" s="41">
        <v>0</v>
      </c>
      <c r="G34" s="50">
        <f t="shared" si="3"/>
        <v>0</v>
      </c>
    </row>
    <row r="35" spans="1:8" ht="13.75" customHeight="1" x14ac:dyDescent="0.25">
      <c r="B35" s="105" t="s">
        <v>920</v>
      </c>
      <c r="C35" s="41">
        <v>0</v>
      </c>
      <c r="D35" s="41">
        <v>0</v>
      </c>
      <c r="E35" s="41">
        <v>2341</v>
      </c>
      <c r="F35" s="41">
        <v>0</v>
      </c>
      <c r="G35" s="50">
        <f t="shared" si="3"/>
        <v>2341</v>
      </c>
    </row>
    <row r="36" spans="1:8" ht="13.75" customHeight="1" x14ac:dyDescent="0.25">
      <c r="B36" s="105" t="s">
        <v>1325</v>
      </c>
      <c r="C36" s="41">
        <v>0</v>
      </c>
      <c r="D36" s="41">
        <v>0</v>
      </c>
      <c r="E36" s="41">
        <v>593</v>
      </c>
      <c r="F36" s="41">
        <v>0</v>
      </c>
      <c r="G36" s="50">
        <f t="shared" si="3"/>
        <v>593</v>
      </c>
    </row>
    <row r="37" spans="1:8" ht="25.5" customHeight="1" x14ac:dyDescent="0.25">
      <c r="B37" s="105" t="s">
        <v>1475</v>
      </c>
      <c r="C37" s="41"/>
      <c r="D37" s="41"/>
      <c r="E37" s="41"/>
      <c r="F37" s="41">
        <v>0</v>
      </c>
      <c r="G37" s="50">
        <f t="shared" si="3"/>
        <v>0</v>
      </c>
    </row>
    <row r="38" spans="1:8" ht="13.5" customHeight="1" x14ac:dyDescent="0.25">
      <c r="B38" s="105" t="s">
        <v>1079</v>
      </c>
      <c r="C38" s="41">
        <v>0</v>
      </c>
      <c r="D38" s="41">
        <v>0</v>
      </c>
      <c r="E38" s="41">
        <v>192</v>
      </c>
      <c r="F38" s="41">
        <v>0</v>
      </c>
      <c r="G38" s="50">
        <f t="shared" si="3"/>
        <v>192</v>
      </c>
    </row>
    <row r="39" spans="1:8" ht="13.75" customHeight="1" x14ac:dyDescent="0.25">
      <c r="B39" s="105" t="s">
        <v>1080</v>
      </c>
      <c r="C39" s="41">
        <v>0</v>
      </c>
      <c r="D39" s="41">
        <v>0</v>
      </c>
      <c r="E39" s="41">
        <v>0</v>
      </c>
      <c r="F39" s="41">
        <v>0</v>
      </c>
      <c r="G39" s="50">
        <f t="shared" si="3"/>
        <v>0</v>
      </c>
    </row>
    <row r="40" spans="1:8" ht="13.75" customHeight="1" x14ac:dyDescent="0.25">
      <c r="B40" s="105" t="s">
        <v>1081</v>
      </c>
      <c r="C40" s="41">
        <v>0</v>
      </c>
      <c r="D40" s="41">
        <v>0</v>
      </c>
      <c r="E40" s="41">
        <v>0</v>
      </c>
      <c r="F40" s="41">
        <v>0</v>
      </c>
      <c r="G40" s="50">
        <f t="shared" si="3"/>
        <v>0</v>
      </c>
    </row>
    <row r="41" spans="1:8" ht="13.75" customHeight="1" x14ac:dyDescent="0.25">
      <c r="B41" s="105" t="s">
        <v>1082</v>
      </c>
      <c r="C41" s="41">
        <v>0</v>
      </c>
      <c r="D41" s="41">
        <v>0</v>
      </c>
      <c r="E41" s="41">
        <v>-526</v>
      </c>
      <c r="F41" s="41">
        <v>0</v>
      </c>
      <c r="G41" s="50">
        <f t="shared" si="3"/>
        <v>-526</v>
      </c>
    </row>
    <row r="42" spans="1:8" ht="13.75" customHeight="1" x14ac:dyDescent="0.25">
      <c r="B42" s="105" t="s">
        <v>1083</v>
      </c>
      <c r="C42" s="41">
        <v>0</v>
      </c>
      <c r="D42" s="41">
        <v>0</v>
      </c>
      <c r="E42" s="41">
        <v>0</v>
      </c>
      <c r="F42" s="41">
        <v>0</v>
      </c>
      <c r="G42" s="50">
        <f t="shared" si="3"/>
        <v>0</v>
      </c>
      <c r="H42" s="152"/>
    </row>
    <row r="43" spans="1:8" ht="14.15" customHeight="1" thickBot="1" x14ac:dyDescent="0.3">
      <c r="B43" s="14" t="str">
        <f>"Carrying value at " &amp; TEXT(ComparativeYearEnd,"d mmmm yyyy")</f>
        <v>Carrying value at 31 March 2024</v>
      </c>
      <c r="C43" s="42">
        <f>SUM(C27:C42)</f>
        <v>0</v>
      </c>
      <c r="D43" s="42">
        <f t="shared" ref="D43:G43" si="4">SUM(D27:D42)</f>
        <v>0</v>
      </c>
      <c r="E43" s="42">
        <f t="shared" si="4"/>
        <v>19215</v>
      </c>
      <c r="F43" s="42">
        <f t="shared" si="4"/>
        <v>0</v>
      </c>
      <c r="G43" s="42">
        <f t="shared" si="4"/>
        <v>19215</v>
      </c>
    </row>
    <row r="44" spans="1:8" ht="14.15" customHeight="1" thickTop="1" x14ac:dyDescent="0.25"/>
    <row r="45" spans="1:8" ht="14.15" customHeight="1" x14ac:dyDescent="0.25">
      <c r="A45" s="31">
        <f>ROUNDDOWN(A1,0)+1</f>
        <v>26</v>
      </c>
      <c r="B45" s="14" t="str">
        <f>"Note "&amp; Borrowings!A45&amp; " Other financial liabilities"</f>
        <v>Note 26 Other financial liabilities</v>
      </c>
      <c r="C45" s="151"/>
      <c r="D45" s="93"/>
      <c r="E45" s="14"/>
      <c r="F45" s="14"/>
    </row>
    <row r="46" spans="1:8" ht="24" customHeight="1" x14ac:dyDescent="0.25">
      <c r="B46" s="14"/>
      <c r="E46" s="80" t="str">
        <f>TEXT(CurrentYearEnd, "d mmmm yyyy")</f>
        <v>31 March 2025</v>
      </c>
      <c r="G46" s="80" t="str">
        <f>TEXT(ComparativeYearEnd, "d mmmm yyyy")</f>
        <v>31 March 2024</v>
      </c>
    </row>
    <row r="47" spans="1:8" ht="14.15" customHeight="1" x14ac:dyDescent="0.25">
      <c r="B47" s="14"/>
      <c r="E47" s="80" t="s">
        <v>542</v>
      </c>
      <c r="G47" s="80" t="s">
        <v>542</v>
      </c>
    </row>
    <row r="48" spans="1:8" ht="14.15" customHeight="1" x14ac:dyDescent="0.25">
      <c r="B48" s="14" t="s">
        <v>977</v>
      </c>
      <c r="E48" s="22"/>
      <c r="G48" s="22"/>
    </row>
    <row r="49" spans="1:7" ht="13.75" customHeight="1" x14ac:dyDescent="0.25">
      <c r="B49" s="112" t="s">
        <v>1084</v>
      </c>
      <c r="E49" s="41">
        <v>0</v>
      </c>
      <c r="G49" s="41">
        <v>0</v>
      </c>
    </row>
    <row r="50" spans="1:7" ht="13.75" customHeight="1" x14ac:dyDescent="0.25">
      <c r="B50" s="105" t="s">
        <v>521</v>
      </c>
      <c r="E50" s="41">
        <v>0</v>
      </c>
      <c r="G50" s="41">
        <v>0</v>
      </c>
    </row>
    <row r="51" spans="1:7" ht="13.75" customHeight="1" thickBot="1" x14ac:dyDescent="0.3">
      <c r="B51" s="93" t="s">
        <v>1085</v>
      </c>
      <c r="E51" s="42">
        <f>SUM(E49:E50)</f>
        <v>0</v>
      </c>
      <c r="G51" s="42">
        <f>SUM(G49:G50)</f>
        <v>0</v>
      </c>
    </row>
    <row r="52" spans="1:7" ht="13.75" customHeight="1" thickTop="1" x14ac:dyDescent="0.35">
      <c r="B52" s="93"/>
      <c r="E52"/>
      <c r="G52"/>
    </row>
    <row r="53" spans="1:7" ht="13.75" customHeight="1" x14ac:dyDescent="0.25">
      <c r="B53" s="14" t="s">
        <v>994</v>
      </c>
      <c r="E53" s="22"/>
      <c r="G53" s="22"/>
    </row>
    <row r="54" spans="1:7" ht="13.75" customHeight="1" x14ac:dyDescent="0.25">
      <c r="B54" s="112" t="s">
        <v>1084</v>
      </c>
      <c r="E54" s="41">
        <v>0</v>
      </c>
      <c r="G54" s="41">
        <v>0</v>
      </c>
    </row>
    <row r="55" spans="1:7" ht="13.75" customHeight="1" x14ac:dyDescent="0.25">
      <c r="B55" s="105" t="s">
        <v>521</v>
      </c>
      <c r="E55" s="41">
        <v>0</v>
      </c>
      <c r="G55" s="41">
        <v>0</v>
      </c>
    </row>
    <row r="56" spans="1:7" ht="13.75" customHeight="1" thickBot="1" x14ac:dyDescent="0.3">
      <c r="B56" s="93" t="s">
        <v>1086</v>
      </c>
      <c r="E56" s="42">
        <f>SUM(E54:E55)</f>
        <v>0</v>
      </c>
      <c r="G56" s="42">
        <f>SUM(G54:G55)</f>
        <v>0</v>
      </c>
    </row>
    <row r="57" spans="1:7" ht="14.15" customHeight="1" thickTop="1" x14ac:dyDescent="0.25"/>
    <row r="58" spans="1:7" ht="14.15" customHeight="1" x14ac:dyDescent="0.25">
      <c r="B58" s="14"/>
    </row>
    <row r="61" spans="1:7" ht="14.15" customHeight="1" x14ac:dyDescent="0.25">
      <c r="A61" s="1"/>
    </row>
    <row r="62" spans="1:7" ht="14.15" customHeight="1" x14ac:dyDescent="0.25">
      <c r="A62" s="1"/>
    </row>
    <row r="63" spans="1:7" ht="14.15" customHeight="1" x14ac:dyDescent="0.25">
      <c r="A63" s="1"/>
    </row>
    <row r="64" spans="1:7" ht="14.15" customHeight="1" x14ac:dyDescent="0.25">
      <c r="A64" s="1"/>
    </row>
    <row r="65" spans="1:1" ht="14.15" customHeight="1" x14ac:dyDescent="0.25">
      <c r="A65" s="1"/>
    </row>
    <row r="66" spans="1:1" ht="14.15" customHeight="1" x14ac:dyDescent="0.25">
      <c r="A66" s="1"/>
    </row>
    <row r="67" spans="1:1" ht="14.15" customHeight="1" x14ac:dyDescent="0.25">
      <c r="A67" s="1"/>
    </row>
    <row r="68" spans="1:1" ht="14.15" customHeight="1" x14ac:dyDescent="0.25">
      <c r="A68" s="1"/>
    </row>
    <row r="73" spans="1:1" ht="14.15" customHeight="1" x14ac:dyDescent="0.25">
      <c r="A73" s="1"/>
    </row>
    <row r="74" spans="1:1" ht="14.15" customHeight="1" x14ac:dyDescent="0.25">
      <c r="A74" s="1"/>
    </row>
    <row r="75" spans="1:1" ht="14.15" customHeight="1" x14ac:dyDescent="0.25">
      <c r="A75" s="1"/>
    </row>
  </sheetData>
  <pageMargins left="0.7" right="0.7" top="0.75" bottom="0.75" header="0.3" footer="0.3"/>
  <pageSetup paperSize="9"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8">
    <tabColor rgb="FFFF0000"/>
  </sheetPr>
  <dimension ref="A1:N58"/>
  <sheetViews>
    <sheetView workbookViewId="0"/>
  </sheetViews>
  <sheetFormatPr defaultColWidth="9.1796875" defaultRowHeight="14.15" customHeight="1" x14ac:dyDescent="0.25"/>
  <cols>
    <col min="1" max="1" width="0.81640625" style="31" customWidth="1"/>
    <col min="2" max="2" width="62.26953125" style="1" customWidth="1"/>
    <col min="3" max="3" width="11.453125" style="1" customWidth="1"/>
    <col min="4" max="4" width="0.7265625" style="1" customWidth="1"/>
    <col min="5" max="5" width="11.453125" style="1" customWidth="1"/>
    <col min="6" max="13" width="9.1796875" style="1"/>
    <col min="14" max="14" width="10.7265625" style="1" customWidth="1"/>
    <col min="15" max="16384" width="9.1796875" style="1"/>
  </cols>
  <sheetData>
    <row r="1" spans="1:14" ht="14.15" customHeight="1" thickBot="1" x14ac:dyDescent="0.3">
      <c r="A1" s="31">
        <f>ROUNDDOWN(Pension!A1,0)+0.1</f>
        <v>30.1</v>
      </c>
      <c r="B1" s="93" t="str">
        <f>"Note "&amp;A1&amp; " Changes in the defined benefit obligation and fair value of plan assets during the year"</f>
        <v>Note 30.1 Changes in the defined benefit obligation and fair value of plan assets during the year</v>
      </c>
      <c r="C1" s="93"/>
      <c r="D1" s="93"/>
      <c r="E1" s="93"/>
      <c r="F1" s="161" t="s">
        <v>1115</v>
      </c>
      <c r="G1" s="162"/>
      <c r="H1" s="162"/>
      <c r="I1" s="162"/>
      <c r="J1" s="162"/>
      <c r="K1" s="162"/>
      <c r="L1" s="162"/>
      <c r="M1" s="162"/>
      <c r="N1" s="163"/>
    </row>
    <row r="2" spans="1:14" ht="19.75" customHeight="1" x14ac:dyDescent="0.25">
      <c r="B2" s="14"/>
      <c r="C2" s="80" t="str">
        <f>CurrentFY</f>
        <v>2024/25</v>
      </c>
      <c r="D2" s="41"/>
      <c r="E2" s="80" t="str">
        <f>ComparativeFY</f>
        <v>2023/24</v>
      </c>
    </row>
    <row r="3" spans="1:14" ht="14.15" customHeight="1" x14ac:dyDescent="0.25">
      <c r="B3" s="14"/>
      <c r="C3" s="80" t="s">
        <v>542</v>
      </c>
      <c r="D3" s="41"/>
      <c r="E3" s="80" t="s">
        <v>542</v>
      </c>
      <c r="J3" s="100"/>
    </row>
    <row r="4" spans="1:14" ht="13.75" customHeight="1" x14ac:dyDescent="0.25">
      <c r="B4" s="14" t="s">
        <v>1116</v>
      </c>
      <c r="C4" s="50">
        <f>E18</f>
        <v>0</v>
      </c>
      <c r="D4" s="41"/>
      <c r="E4" s="50">
        <v>0</v>
      </c>
    </row>
    <row r="5" spans="1:14" ht="14.15" customHeight="1" x14ac:dyDescent="0.25">
      <c r="B5" s="105" t="s">
        <v>558</v>
      </c>
      <c r="C5" s="41"/>
      <c r="D5" s="41"/>
      <c r="E5" s="41">
        <v>0</v>
      </c>
      <c r="H5" s="17"/>
    </row>
    <row r="6" spans="1:14" ht="13.75" customHeight="1" x14ac:dyDescent="0.25">
      <c r="B6" s="14" t="s">
        <v>1117</v>
      </c>
      <c r="C6" s="43">
        <f>SUM(C4:C5)</f>
        <v>0</v>
      </c>
      <c r="D6" s="41"/>
      <c r="E6" s="43">
        <f>SUM(E4:E5)</f>
        <v>0</v>
      </c>
    </row>
    <row r="7" spans="1:14" ht="13.75" hidden="1" customHeight="1" x14ac:dyDescent="0.25">
      <c r="B7" s="14" t="s">
        <v>1118</v>
      </c>
      <c r="C7" s="50">
        <v>0</v>
      </c>
      <c r="D7" s="41"/>
      <c r="E7" s="50">
        <v>0</v>
      </c>
      <c r="G7" s="166" t="s">
        <v>544</v>
      </c>
    </row>
    <row r="8" spans="1:14" ht="14.15" customHeight="1" x14ac:dyDescent="0.25">
      <c r="B8" s="105" t="s">
        <v>927</v>
      </c>
      <c r="C8" s="41">
        <v>0</v>
      </c>
      <c r="D8" s="41"/>
      <c r="E8" s="41">
        <v>0</v>
      </c>
    </row>
    <row r="9" spans="1:14" ht="14.15" customHeight="1" x14ac:dyDescent="0.25">
      <c r="B9" s="105" t="s">
        <v>1119</v>
      </c>
      <c r="C9" s="41">
        <v>0</v>
      </c>
      <c r="D9" s="41"/>
      <c r="E9" s="41">
        <v>0</v>
      </c>
    </row>
    <row r="10" spans="1:14" ht="14.15" customHeight="1" x14ac:dyDescent="0.25">
      <c r="B10" s="105" t="s">
        <v>1120</v>
      </c>
      <c r="C10" s="41">
        <v>0</v>
      </c>
      <c r="D10" s="41"/>
      <c r="E10" s="41">
        <v>0</v>
      </c>
    </row>
    <row r="11" spans="1:14" ht="14.15" customHeight="1" x14ac:dyDescent="0.25">
      <c r="B11" s="105" t="s">
        <v>1121</v>
      </c>
      <c r="C11" s="41">
        <v>0</v>
      </c>
      <c r="D11" s="41"/>
      <c r="E11" s="41">
        <v>0</v>
      </c>
    </row>
    <row r="12" spans="1:14" ht="14.15" customHeight="1" x14ac:dyDescent="0.25">
      <c r="B12" s="112" t="s">
        <v>1122</v>
      </c>
      <c r="C12" s="41"/>
      <c r="D12" s="41"/>
      <c r="E12" s="41"/>
    </row>
    <row r="13" spans="1:14" ht="14.15" customHeight="1" x14ac:dyDescent="0.25">
      <c r="B13" s="105" t="s">
        <v>1123</v>
      </c>
      <c r="C13" s="41">
        <v>0</v>
      </c>
      <c r="D13" s="41"/>
      <c r="E13" s="41">
        <v>0</v>
      </c>
    </row>
    <row r="14" spans="1:14" ht="14.15" customHeight="1" x14ac:dyDescent="0.25">
      <c r="B14" s="105" t="s">
        <v>1124</v>
      </c>
      <c r="C14" s="41">
        <v>0</v>
      </c>
      <c r="D14" s="41"/>
      <c r="E14" s="41">
        <v>0</v>
      </c>
    </row>
    <row r="15" spans="1:14" ht="14.15" customHeight="1" x14ac:dyDescent="0.25">
      <c r="B15" s="105" t="s">
        <v>1125</v>
      </c>
      <c r="C15" s="41">
        <v>0</v>
      </c>
      <c r="D15" s="41"/>
      <c r="E15" s="41">
        <v>0</v>
      </c>
    </row>
    <row r="16" spans="1:14" ht="14.15" customHeight="1" x14ac:dyDescent="0.25">
      <c r="B16" s="105" t="s">
        <v>1126</v>
      </c>
      <c r="C16" s="41">
        <v>0</v>
      </c>
      <c r="D16" s="41"/>
      <c r="E16" s="41">
        <v>0</v>
      </c>
    </row>
    <row r="17" spans="2:7" ht="14.15" customHeight="1" x14ac:dyDescent="0.25">
      <c r="B17" s="105" t="s">
        <v>1127</v>
      </c>
      <c r="C17" s="41">
        <v>0</v>
      </c>
      <c r="D17" s="41"/>
      <c r="E17" s="41">
        <v>0</v>
      </c>
    </row>
    <row r="18" spans="2:7" ht="13.75" customHeight="1" thickBot="1" x14ac:dyDescent="0.3">
      <c r="B18" s="14" t="s">
        <v>1128</v>
      </c>
      <c r="C18" s="42">
        <f>SUM(C6:C17)</f>
        <v>0</v>
      </c>
      <c r="D18" s="41"/>
      <c r="E18" s="42">
        <f>SUM(E6:E17)</f>
        <v>0</v>
      </c>
    </row>
    <row r="19" spans="2:7" ht="14.15" customHeight="1" thickTop="1" x14ac:dyDescent="0.25">
      <c r="C19" s="21"/>
      <c r="D19" s="41"/>
      <c r="E19" s="21"/>
    </row>
    <row r="20" spans="2:7" ht="14.15" customHeight="1" x14ac:dyDescent="0.25">
      <c r="B20" s="14" t="s">
        <v>1129</v>
      </c>
      <c r="C20" s="50">
        <f>E35</f>
        <v>0</v>
      </c>
      <c r="D20" s="41"/>
      <c r="E20" s="50">
        <v>0</v>
      </c>
    </row>
    <row r="21" spans="2:7" ht="14.15" customHeight="1" x14ac:dyDescent="0.25">
      <c r="B21" s="105" t="s">
        <v>558</v>
      </c>
      <c r="C21" s="41"/>
      <c r="D21" s="41"/>
      <c r="E21" s="41">
        <v>0</v>
      </c>
    </row>
    <row r="22" spans="2:7" ht="13.75" customHeight="1" x14ac:dyDescent="0.25">
      <c r="B22" s="14" t="s">
        <v>1130</v>
      </c>
      <c r="C22" s="43">
        <f>SUM(C20:C21)</f>
        <v>0</v>
      </c>
      <c r="D22" s="41"/>
      <c r="E22" s="43">
        <f>SUM(E20:E21)</f>
        <v>0</v>
      </c>
    </row>
    <row r="23" spans="2:7" ht="13.75" hidden="1" customHeight="1" x14ac:dyDescent="0.25">
      <c r="B23" s="14" t="s">
        <v>1131</v>
      </c>
      <c r="C23" s="50">
        <v>0</v>
      </c>
      <c r="D23" s="41"/>
      <c r="E23" s="50">
        <v>0</v>
      </c>
      <c r="G23" s="166" t="s">
        <v>544</v>
      </c>
    </row>
    <row r="24" spans="2:7" ht="14.15" customHeight="1" x14ac:dyDescent="0.25">
      <c r="B24" s="105" t="s">
        <v>1132</v>
      </c>
      <c r="C24" s="41">
        <v>0</v>
      </c>
      <c r="D24" s="41"/>
      <c r="E24" s="41">
        <v>0</v>
      </c>
    </row>
    <row r="25" spans="2:7" ht="14.15" customHeight="1" x14ac:dyDescent="0.25">
      <c r="B25" s="105" t="s">
        <v>1133</v>
      </c>
      <c r="C25" s="41">
        <v>0</v>
      </c>
      <c r="D25" s="41"/>
      <c r="E25" s="41">
        <v>0</v>
      </c>
    </row>
    <row r="26" spans="2:7" ht="14.15" customHeight="1" x14ac:dyDescent="0.25">
      <c r="B26" s="112" t="s">
        <v>1122</v>
      </c>
      <c r="C26" s="41"/>
      <c r="D26" s="41"/>
      <c r="E26" s="41"/>
    </row>
    <row r="27" spans="2:7" ht="14.15" customHeight="1" x14ac:dyDescent="0.25">
      <c r="B27" s="105" t="s">
        <v>1134</v>
      </c>
      <c r="C27" s="41">
        <v>0</v>
      </c>
      <c r="D27" s="41"/>
      <c r="E27" s="41">
        <v>0</v>
      </c>
    </row>
    <row r="28" spans="2:7" ht="14.15" customHeight="1" x14ac:dyDescent="0.25">
      <c r="B28" s="105" t="s">
        <v>1135</v>
      </c>
      <c r="C28" s="41">
        <v>0</v>
      </c>
      <c r="D28" s="41"/>
      <c r="E28" s="41">
        <v>0</v>
      </c>
    </row>
    <row r="29" spans="2:7" ht="25.5" customHeight="1" x14ac:dyDescent="0.25">
      <c r="B29" s="105" t="s">
        <v>1136</v>
      </c>
      <c r="C29" s="41">
        <v>0</v>
      </c>
      <c r="D29" s="41"/>
      <c r="E29" s="41">
        <v>0</v>
      </c>
    </row>
    <row r="30" spans="2:7" ht="14.15" customHeight="1" x14ac:dyDescent="0.25">
      <c r="B30" s="105" t="s">
        <v>1137</v>
      </c>
      <c r="C30" s="41">
        <v>0</v>
      </c>
      <c r="D30" s="41"/>
      <c r="E30" s="41">
        <v>0</v>
      </c>
    </row>
    <row r="31" spans="2:7" ht="14.15" customHeight="1" x14ac:dyDescent="0.25">
      <c r="B31" s="105" t="s">
        <v>1138</v>
      </c>
      <c r="C31" s="41">
        <v>0</v>
      </c>
      <c r="D31" s="41"/>
      <c r="E31" s="41">
        <v>0</v>
      </c>
    </row>
    <row r="32" spans="2:7" ht="14.15" customHeight="1" x14ac:dyDescent="0.25">
      <c r="B32" s="105" t="s">
        <v>1124</v>
      </c>
      <c r="C32" s="41">
        <v>0</v>
      </c>
      <c r="D32" s="41"/>
      <c r="E32" s="41">
        <v>0</v>
      </c>
    </row>
    <row r="33" spans="1:5" ht="14.15" customHeight="1" x14ac:dyDescent="0.25">
      <c r="B33" s="105" t="s">
        <v>1126</v>
      </c>
      <c r="C33" s="41">
        <v>0</v>
      </c>
      <c r="D33" s="41"/>
      <c r="E33" s="41">
        <v>0</v>
      </c>
    </row>
    <row r="34" spans="1:5" ht="14.15" customHeight="1" x14ac:dyDescent="0.25">
      <c r="B34" s="105" t="s">
        <v>1139</v>
      </c>
      <c r="C34" s="41">
        <v>0</v>
      </c>
      <c r="D34" s="41"/>
      <c r="E34" s="41">
        <v>0</v>
      </c>
    </row>
    <row r="35" spans="1:5" ht="14.15" customHeight="1" thickBot="1" x14ac:dyDescent="0.3">
      <c r="B35" s="93" t="s">
        <v>1140</v>
      </c>
      <c r="C35" s="42">
        <f>SUM(C22:C34)</f>
        <v>0</v>
      </c>
      <c r="D35" s="41"/>
      <c r="E35" s="42">
        <f>SUM(E22:E34)</f>
        <v>0</v>
      </c>
    </row>
    <row r="36" spans="1:5" ht="14.15" customHeight="1" thickTop="1" x14ac:dyDescent="0.25">
      <c r="B36" s="14"/>
      <c r="C36" s="23"/>
      <c r="D36" s="41"/>
      <c r="E36" s="23"/>
    </row>
    <row r="37" spans="1:5" ht="14.15" customHeight="1" thickBot="1" x14ac:dyDescent="0.3">
      <c r="B37" s="93" t="s">
        <v>1141</v>
      </c>
      <c r="C37" s="42">
        <f>C35+C18</f>
        <v>0</v>
      </c>
      <c r="D37" s="41"/>
      <c r="E37" s="42">
        <f>E35+E18</f>
        <v>0</v>
      </c>
    </row>
    <row r="38" spans="1:5" ht="14.15" customHeight="1" thickTop="1" x14ac:dyDescent="0.25">
      <c r="D38" s="41"/>
    </row>
    <row r="39" spans="1:5" ht="14.15" customHeight="1" x14ac:dyDescent="0.25">
      <c r="A39" s="31">
        <f>A1+0.1</f>
        <v>30.200000000000003</v>
      </c>
      <c r="B39" s="504" t="str">
        <f>"Note "&amp; A39&amp; " Reconciliation of the present value of the defined benefit obligation and the present value of the plan assets to the assets and liabilities recognised in the balance sheet"</f>
        <v>Note 30.2 Reconciliation of the present value of the defined benefit obligation and the present value of the plan assets to the assets and liabilities recognised in the balance sheet</v>
      </c>
      <c r="C39" s="504"/>
      <c r="D39" s="504"/>
      <c r="E39" s="504"/>
    </row>
    <row r="40" spans="1:5" ht="14.15" customHeight="1" x14ac:dyDescent="0.25">
      <c r="B40" s="504"/>
      <c r="C40" s="504"/>
      <c r="D40" s="504"/>
      <c r="E40" s="504"/>
    </row>
    <row r="41" spans="1:5" ht="26.5" customHeight="1" x14ac:dyDescent="0.25">
      <c r="C41" s="80" t="str">
        <f>TEXT(CurrentYearEnd, "d mmmm yyyy")</f>
        <v>31 March 2025</v>
      </c>
      <c r="D41" s="80"/>
      <c r="E41" s="80" t="str">
        <f>TEXT(ComparativeYearEnd, "d mmmm yyyy")</f>
        <v>31 March 2024</v>
      </c>
    </row>
    <row r="42" spans="1:5" ht="14.15" customHeight="1" x14ac:dyDescent="0.25">
      <c r="C42" s="80" t="s">
        <v>542</v>
      </c>
      <c r="D42" s="41"/>
      <c r="E42" s="80" t="s">
        <v>542</v>
      </c>
    </row>
    <row r="43" spans="1:5" ht="13.75" customHeight="1" x14ac:dyDescent="0.25">
      <c r="B43" s="105" t="s">
        <v>1142</v>
      </c>
      <c r="C43" s="41">
        <f>C18</f>
        <v>0</v>
      </c>
      <c r="D43" s="41"/>
      <c r="E43" s="41">
        <f>E18</f>
        <v>0</v>
      </c>
    </row>
    <row r="44" spans="1:5" ht="14.15" customHeight="1" x14ac:dyDescent="0.25">
      <c r="B44" s="105" t="s">
        <v>1143</v>
      </c>
      <c r="C44" s="41">
        <f>C35</f>
        <v>0</v>
      </c>
      <c r="D44" s="41"/>
      <c r="E44" s="41">
        <f>E35</f>
        <v>0</v>
      </c>
    </row>
    <row r="45" spans="1:5" ht="13.75" customHeight="1" x14ac:dyDescent="0.25">
      <c r="B45" s="14" t="s">
        <v>1144</v>
      </c>
      <c r="C45" s="43">
        <f>SUM(C43:C44)</f>
        <v>0</v>
      </c>
      <c r="D45" s="41"/>
      <c r="E45" s="43">
        <f>SUM(E43:E44)</f>
        <v>0</v>
      </c>
    </row>
    <row r="46" spans="1:5" ht="14.15" customHeight="1" x14ac:dyDescent="0.25">
      <c r="B46" s="112" t="s">
        <v>1145</v>
      </c>
      <c r="C46" s="41">
        <v>0</v>
      </c>
      <c r="D46" s="41"/>
      <c r="E46" s="41">
        <v>0</v>
      </c>
    </row>
    <row r="47" spans="1:5" ht="13.75" customHeight="1" thickBot="1" x14ac:dyDescent="0.3">
      <c r="B47" s="14" t="s">
        <v>1146</v>
      </c>
      <c r="C47" s="42">
        <f>SUM(C45:C46)</f>
        <v>0</v>
      </c>
      <c r="D47" s="41"/>
      <c r="E47" s="42">
        <f>SUM(E45:E46)</f>
        <v>0</v>
      </c>
    </row>
    <row r="48" spans="1:5" ht="14.15" customHeight="1" thickTop="1" x14ac:dyDescent="0.25">
      <c r="D48" s="41"/>
    </row>
    <row r="49" spans="1:5" ht="14.15" customHeight="1" x14ac:dyDescent="0.25">
      <c r="D49" s="41"/>
    </row>
    <row r="50" spans="1:5" ht="14.15" customHeight="1" x14ac:dyDescent="0.25">
      <c r="A50" s="31">
        <f>A39+0.1</f>
        <v>30.300000000000004</v>
      </c>
      <c r="B50" s="14" t="str">
        <f>"Note "&amp; A50&amp; " Amounts recognised in the SoCI "</f>
        <v xml:space="preserve">Note 30.3 Amounts recognised in the SoCI </v>
      </c>
      <c r="D50" s="41"/>
    </row>
    <row r="51" spans="1:5" ht="14.15" customHeight="1" x14ac:dyDescent="0.25">
      <c r="C51" s="80" t="str">
        <f>CurrentFY</f>
        <v>2024/25</v>
      </c>
      <c r="D51" s="41"/>
      <c r="E51" s="80" t="str">
        <f>ComparativeFY</f>
        <v>2023/24</v>
      </c>
    </row>
    <row r="52" spans="1:5" ht="14.15" customHeight="1" x14ac:dyDescent="0.25">
      <c r="C52" s="80" t="s">
        <v>542</v>
      </c>
      <c r="D52" s="41"/>
      <c r="E52" s="80" t="s">
        <v>542</v>
      </c>
    </row>
    <row r="53" spans="1:5" ht="14.15" customHeight="1" x14ac:dyDescent="0.25">
      <c r="B53" s="105" t="s">
        <v>1119</v>
      </c>
      <c r="C53" s="41">
        <f>C9</f>
        <v>0</v>
      </c>
      <c r="D53" s="41"/>
      <c r="E53" s="41">
        <f>E9</f>
        <v>0</v>
      </c>
    </row>
    <row r="54" spans="1:5" ht="14.15" customHeight="1" x14ac:dyDescent="0.25">
      <c r="B54" s="105" t="s">
        <v>1147</v>
      </c>
      <c r="C54" s="41">
        <f>C10+C25</f>
        <v>0</v>
      </c>
      <c r="D54" s="41"/>
      <c r="E54" s="41">
        <f>E10+E25</f>
        <v>0</v>
      </c>
    </row>
    <row r="55" spans="1:5" ht="14.15" customHeight="1" x14ac:dyDescent="0.25">
      <c r="B55" s="105" t="s">
        <v>1148</v>
      </c>
      <c r="C55" s="41">
        <f>C15</f>
        <v>0</v>
      </c>
      <c r="D55" s="41"/>
      <c r="E55" s="41">
        <f>E15</f>
        <v>0</v>
      </c>
    </row>
    <row r="56" spans="1:5" ht="14.15" customHeight="1" x14ac:dyDescent="0.25">
      <c r="B56" s="105" t="s">
        <v>1149</v>
      </c>
      <c r="C56" s="41">
        <v>0</v>
      </c>
      <c r="D56" s="41"/>
      <c r="E56" s="41">
        <v>0</v>
      </c>
    </row>
    <row r="57" spans="1:5" ht="14.15" customHeight="1" thickBot="1" x14ac:dyDescent="0.3">
      <c r="B57" s="93" t="s">
        <v>1150</v>
      </c>
      <c r="C57" s="42">
        <f>SUM(C53:C56)</f>
        <v>0</v>
      </c>
      <c r="D57" s="41"/>
      <c r="E57" s="42">
        <f>SUM(E53:E56)</f>
        <v>0</v>
      </c>
    </row>
    <row r="58" spans="1:5" ht="14.15" customHeight="1" thickTop="1" x14ac:dyDescent="0.25">
      <c r="D58" s="41"/>
    </row>
  </sheetData>
  <customSheetViews>
    <customSheetView guid="{EDC1BD6E-863A-4FC6-A3A9-F32079F4F0C1}" topLeftCell="A25">
      <selection activeCell="O58" sqref="O58"/>
      <pageMargins left="0" right="0" top="0" bottom="0" header="0" footer="0"/>
      <pageSetup paperSize="9" orientation="portrait" verticalDpi="0" r:id="rId1"/>
    </customSheetView>
  </customSheetViews>
  <mergeCells count="1">
    <mergeCell ref="B39:E40"/>
  </mergeCells>
  <pageMargins left="0.7" right="0.7" top="0.75" bottom="0.75" header="0.3" footer="0.3"/>
  <pageSetup paperSize="9"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FF0000"/>
  </sheetPr>
  <dimension ref="A1:O81"/>
  <sheetViews>
    <sheetView workbookViewId="0"/>
  </sheetViews>
  <sheetFormatPr defaultColWidth="9.1796875" defaultRowHeight="14.15" customHeight="1" x14ac:dyDescent="0.25"/>
  <cols>
    <col min="1" max="1" width="1" style="31" customWidth="1"/>
    <col min="2" max="2" width="41.1796875" style="1" customWidth="1"/>
    <col min="3" max="3" width="10.7265625" style="1" customWidth="1"/>
    <col min="4" max="4" width="0.7265625" style="1" customWidth="1"/>
    <col min="5" max="5" width="10.7265625" style="1" customWidth="1"/>
    <col min="6" max="6" width="1" style="1" customWidth="1"/>
    <col min="7" max="7" width="10.7265625" style="1" customWidth="1"/>
    <col min="8" max="8" width="0.7265625" style="1" customWidth="1"/>
    <col min="9" max="9" width="10.7265625" style="1" customWidth="1"/>
    <col min="10" max="16384" width="9.1796875" style="1"/>
  </cols>
  <sheetData>
    <row r="1" spans="1:11" ht="14.15" customHeight="1" x14ac:dyDescent="0.25">
      <c r="A1" s="31">
        <f>ROUNDDOWN('Receivables 2'!A23,0)+1</f>
        <v>19</v>
      </c>
      <c r="B1" s="93" t="str">
        <f>"Note " &amp; A1 &amp;" Finance leases ("&amp;SelectedFT&amp;" as a lessor)"</f>
        <v>Note 19 Finance leases (North West Ambulance Service NHS Trust as a lessor)</v>
      </c>
    </row>
    <row r="2" spans="1:11" ht="14.15" customHeight="1" x14ac:dyDescent="0.25">
      <c r="B2" s="93"/>
    </row>
    <row r="3" spans="1:11" ht="27.75" customHeight="1" x14ac:dyDescent="0.25">
      <c r="B3" s="432" t="str">
        <f>"This note discloses future lease payments receivable from lease arrangements classified as finance leases where the " &amp; SelectedFT &amp; " is the lessor."</f>
        <v>This note discloses future lease payments receivable from lease arrangements classified as finance leases where the North West Ambulance Service NHS Trust is the lessor.</v>
      </c>
      <c r="C3" s="432"/>
      <c r="D3" s="432"/>
      <c r="E3" s="432"/>
      <c r="F3" s="432"/>
      <c r="G3" s="432"/>
      <c r="H3" s="432"/>
      <c r="I3" s="432"/>
    </row>
    <row r="4" spans="1:11" ht="38.25" customHeight="1" x14ac:dyDescent="0.25">
      <c r="B4" s="496" t="s">
        <v>1435</v>
      </c>
      <c r="C4" s="496"/>
      <c r="D4" s="496"/>
      <c r="E4" s="496"/>
      <c r="F4" s="496"/>
      <c r="G4" s="496"/>
      <c r="H4" s="496"/>
      <c r="I4" s="496"/>
    </row>
    <row r="5" spans="1:11" ht="13.5" customHeight="1" x14ac:dyDescent="0.25">
      <c r="B5" s="45"/>
      <c r="C5" s="45"/>
      <c r="D5" s="45"/>
      <c r="E5" s="45"/>
    </row>
    <row r="6" spans="1:11" s="2" customFormat="1" ht="25.5" customHeight="1" x14ac:dyDescent="0.25">
      <c r="A6" s="30">
        <f>A1+0.1</f>
        <v>19.100000000000001</v>
      </c>
      <c r="B6" s="504" t="str">
        <f>"Note " &amp;A6 &amp; " Reconciliation of the carrying value of finance lease receivables (net investment in the lease) "</f>
        <v xml:space="preserve">Note 19.1 Reconciliation of the carrying value of finance lease receivables (net investment in the lease) </v>
      </c>
      <c r="C6" s="504"/>
      <c r="D6" s="504"/>
      <c r="E6" s="504"/>
      <c r="F6" s="504"/>
      <c r="G6" s="504"/>
      <c r="H6" s="504"/>
      <c r="I6" s="504"/>
    </row>
    <row r="7" spans="1:11" s="2" customFormat="1" ht="14.15" customHeight="1" x14ac:dyDescent="0.25">
      <c r="A7" s="30"/>
      <c r="B7" s="10"/>
      <c r="G7" s="191" t="str">
        <f>CurrentFY</f>
        <v>2024/25</v>
      </c>
      <c r="H7" s="192"/>
      <c r="I7" s="191" t="str">
        <f>ComparativeFY</f>
        <v>2023/24</v>
      </c>
    </row>
    <row r="8" spans="1:11" s="2" customFormat="1" ht="14.15" customHeight="1" x14ac:dyDescent="0.25">
      <c r="A8" s="30"/>
      <c r="B8" s="10"/>
      <c r="G8" s="191" t="s">
        <v>542</v>
      </c>
      <c r="H8" s="192"/>
      <c r="I8" s="191" t="s">
        <v>542</v>
      </c>
    </row>
    <row r="9" spans="1:11" s="2" customFormat="1" ht="14.15" customHeight="1" x14ac:dyDescent="0.25">
      <c r="A9" s="30"/>
      <c r="B9" s="125" t="str">
        <f>"Finance lease receivables at "&amp;TEXT(CurrentYearStart,"d mmmm")</f>
        <v>Finance lease receivables at 1 April</v>
      </c>
      <c r="G9" s="50">
        <f>I19</f>
        <v>0</v>
      </c>
      <c r="H9" s="18"/>
      <c r="I9" s="50">
        <v>0</v>
      </c>
    </row>
    <row r="10" spans="1:11" s="2" customFormat="1" ht="14.15" customHeight="1" x14ac:dyDescent="0.25">
      <c r="A10" s="30"/>
      <c r="B10" s="105" t="s">
        <v>500</v>
      </c>
      <c r="G10" s="41"/>
      <c r="H10" s="18"/>
      <c r="I10" s="41">
        <v>0</v>
      </c>
    </row>
    <row r="11" spans="1:11" s="2" customFormat="1" ht="14.15" customHeight="1" x14ac:dyDescent="0.25">
      <c r="A11" s="30"/>
      <c r="B11" s="195" t="str">
        <f>"Finance lease receivables at "&amp;TEXT(CurrentYearStart,"d mmmm")&amp;" - restated"</f>
        <v>Finance lease receivables at 1 April - restated</v>
      </c>
      <c r="G11" s="43">
        <f>SUM(G9:G10)</f>
        <v>0</v>
      </c>
      <c r="H11" s="18"/>
      <c r="I11" s="43">
        <f>SUM(I9:I10)</f>
        <v>0</v>
      </c>
    </row>
    <row r="12" spans="1:11" s="2" customFormat="1" ht="14.15" hidden="1" customHeight="1" x14ac:dyDescent="0.25">
      <c r="A12" s="30"/>
      <c r="B12" s="14" t="s">
        <v>1350</v>
      </c>
      <c r="G12" s="50">
        <v>0</v>
      </c>
      <c r="H12" s="50"/>
      <c r="I12" s="50">
        <v>0</v>
      </c>
      <c r="K12" s="166" t="s">
        <v>544</v>
      </c>
    </row>
    <row r="13" spans="1:11" s="2" customFormat="1" ht="14.15" customHeight="1" x14ac:dyDescent="0.25">
      <c r="A13" s="30"/>
      <c r="B13" s="200" t="s">
        <v>927</v>
      </c>
      <c r="G13" s="41">
        <v>0</v>
      </c>
      <c r="H13" s="18"/>
      <c r="I13" s="41">
        <v>0</v>
      </c>
    </row>
    <row r="14" spans="1:11" s="2" customFormat="1" ht="14.15" customHeight="1" x14ac:dyDescent="0.25">
      <c r="A14" s="30"/>
      <c r="B14" s="200" t="s">
        <v>920</v>
      </c>
      <c r="G14" s="41">
        <v>0</v>
      </c>
      <c r="H14" s="18"/>
      <c r="I14" s="41">
        <v>0</v>
      </c>
    </row>
    <row r="15" spans="1:11" s="2" customFormat="1" ht="14.15" customHeight="1" x14ac:dyDescent="0.25">
      <c r="A15" s="30"/>
      <c r="B15" s="200" t="s">
        <v>1385</v>
      </c>
      <c r="G15" s="41">
        <v>0</v>
      </c>
      <c r="H15" s="18"/>
      <c r="I15" s="41">
        <v>0</v>
      </c>
    </row>
    <row r="16" spans="1:11" s="2" customFormat="1" ht="14.15" customHeight="1" x14ac:dyDescent="0.25">
      <c r="A16" s="30"/>
      <c r="B16" s="200" t="s">
        <v>1368</v>
      </c>
      <c r="G16" s="41">
        <v>0</v>
      </c>
      <c r="H16" s="18"/>
      <c r="I16" s="41">
        <v>0</v>
      </c>
    </row>
    <row r="17" spans="1:9" s="2" customFormat="1" ht="14.15" customHeight="1" x14ac:dyDescent="0.25">
      <c r="A17" s="30"/>
      <c r="B17" s="200" t="s">
        <v>1351</v>
      </c>
      <c r="G17" s="41">
        <v>0</v>
      </c>
      <c r="H17" s="18"/>
      <c r="I17" s="41">
        <v>0</v>
      </c>
    </row>
    <row r="18" spans="1:9" s="2" customFormat="1" ht="14.15" customHeight="1" x14ac:dyDescent="0.25">
      <c r="A18" s="30"/>
      <c r="B18" s="200" t="s">
        <v>1386</v>
      </c>
      <c r="G18" s="41">
        <v>0</v>
      </c>
      <c r="H18" s="18"/>
      <c r="I18" s="41">
        <v>0</v>
      </c>
    </row>
    <row r="19" spans="1:9" s="2" customFormat="1" ht="14.15" customHeight="1" thickBot="1" x14ac:dyDescent="0.3">
      <c r="A19" s="30"/>
      <c r="B19" s="195" t="str">
        <f>"Finance lease receivables at "&amp;TEXT(CurrentYearEnd,"dd mmmm")</f>
        <v>Finance lease receivables at 31 March</v>
      </c>
      <c r="G19" s="42">
        <f>SUM(G11:G18)</f>
        <v>0</v>
      </c>
      <c r="H19" s="18"/>
      <c r="I19" s="42">
        <f>SUM(I11:I18)</f>
        <v>0</v>
      </c>
    </row>
    <row r="20" spans="1:9" s="2" customFormat="1" ht="14.15" customHeight="1" thickTop="1" x14ac:dyDescent="0.25">
      <c r="A20" s="30"/>
      <c r="B20" s="10"/>
      <c r="D20" s="18"/>
      <c r="E20" s="19"/>
    </row>
    <row r="21" spans="1:9" s="2" customFormat="1" ht="25.5" customHeight="1" x14ac:dyDescent="0.25">
      <c r="A21" s="30"/>
      <c r="B21" s="505" t="s">
        <v>1387</v>
      </c>
      <c r="C21" s="505"/>
      <c r="D21" s="505"/>
      <c r="E21" s="505"/>
      <c r="F21" s="505"/>
      <c r="G21" s="505"/>
      <c r="H21" s="505"/>
      <c r="I21" s="505"/>
    </row>
    <row r="22" spans="1:9" s="2" customFormat="1" ht="14.15" customHeight="1" x14ac:dyDescent="0.25">
      <c r="A22" s="30"/>
      <c r="B22" s="10"/>
      <c r="D22" s="18"/>
      <c r="E22" s="19"/>
    </row>
    <row r="23" spans="1:9" customFormat="1" ht="14.15" customHeight="1" x14ac:dyDescent="0.35">
      <c r="A23" s="32">
        <f>A6+0.1</f>
        <v>19.200000000000003</v>
      </c>
      <c r="B23" s="93" t="str">
        <f>"Note " &amp;A23 &amp; " Finance lease receivables maturity analysis "</f>
        <v xml:space="preserve">Note 19.2 Finance lease receivables maturity analysis </v>
      </c>
      <c r="C23" s="193"/>
      <c r="D23" s="194"/>
      <c r="E23" s="193"/>
    </row>
    <row r="24" spans="1:9" customFormat="1" ht="48.75" customHeight="1" x14ac:dyDescent="0.35">
      <c r="A24" s="32"/>
      <c r="B24" s="93"/>
      <c r="C24" s="80" t="s">
        <v>541</v>
      </c>
      <c r="D24" s="1"/>
      <c r="E24" s="94" t="s">
        <v>1437</v>
      </c>
      <c r="G24" s="80" t="s">
        <v>541</v>
      </c>
      <c r="H24" s="1"/>
      <c r="I24" s="94" t="s">
        <v>1437</v>
      </c>
    </row>
    <row r="25" spans="1:9" customFormat="1" ht="29.25" customHeight="1" x14ac:dyDescent="0.35">
      <c r="A25" s="32"/>
      <c r="B25" s="10"/>
      <c r="C25" s="80" t="str">
        <f>TEXT(CurrentYearEnd, "d mmmm yyyy")</f>
        <v>31 March 2025</v>
      </c>
      <c r="D25" s="192"/>
      <c r="E25" s="80" t="str">
        <f>TEXT(CurrentYearEnd, "d mmmm yyyy")</f>
        <v>31 March 2025</v>
      </c>
      <c r="G25" s="80" t="str">
        <f>TEXT(ComparativeYearEnd, "d mmmm yyyy")</f>
        <v>31 March 2024</v>
      </c>
      <c r="H25" s="45"/>
      <c r="I25" s="80" t="str">
        <f>TEXT(ComparativeYearEnd, "d mmmm yyyy")</f>
        <v>31 March 2024</v>
      </c>
    </row>
    <row r="26" spans="1:9" customFormat="1" ht="14.15" customHeight="1" x14ac:dyDescent="0.35">
      <c r="A26" s="32"/>
      <c r="B26" s="10"/>
      <c r="C26" s="80" t="s">
        <v>542</v>
      </c>
      <c r="D26" s="192"/>
      <c r="E26" s="80" t="s">
        <v>542</v>
      </c>
      <c r="G26" s="80" t="s">
        <v>542</v>
      </c>
      <c r="H26" s="80"/>
      <c r="I26" s="80" t="s">
        <v>542</v>
      </c>
    </row>
    <row r="27" spans="1:9" customFormat="1" ht="14.15" customHeight="1" x14ac:dyDescent="0.35">
      <c r="A27" s="32"/>
      <c r="B27" s="28" t="s">
        <v>1341</v>
      </c>
      <c r="C27" s="193"/>
      <c r="D27" s="194"/>
      <c r="E27" s="1"/>
      <c r="G27" s="1"/>
      <c r="H27" s="80"/>
      <c r="I27" s="80"/>
    </row>
    <row r="28" spans="1:9" customFormat="1" ht="14.15" customHeight="1" x14ac:dyDescent="0.35">
      <c r="A28" s="32"/>
      <c r="B28" s="105" t="s">
        <v>880</v>
      </c>
      <c r="C28" s="41">
        <v>0</v>
      </c>
      <c r="D28" s="41"/>
      <c r="E28" s="41">
        <v>0</v>
      </c>
      <c r="G28" s="41">
        <v>0</v>
      </c>
      <c r="H28" s="1"/>
      <c r="I28" s="41">
        <v>0</v>
      </c>
    </row>
    <row r="29" spans="1:9" customFormat="1" ht="14.15" customHeight="1" x14ac:dyDescent="0.35">
      <c r="A29" s="32"/>
      <c r="B29" s="105" t="s">
        <v>1342</v>
      </c>
      <c r="C29" s="41">
        <v>0</v>
      </c>
      <c r="D29" s="41"/>
      <c r="E29" s="41">
        <v>0</v>
      </c>
      <c r="G29" s="41">
        <v>0</v>
      </c>
      <c r="H29" s="1"/>
      <c r="I29" s="41">
        <v>0</v>
      </c>
    </row>
    <row r="30" spans="1:9" customFormat="1" ht="13.75" customHeight="1" x14ac:dyDescent="0.35">
      <c r="A30" s="32"/>
      <c r="B30" s="112" t="s">
        <v>1343</v>
      </c>
      <c r="C30" s="41">
        <v>0</v>
      </c>
      <c r="D30" s="41"/>
      <c r="E30" s="41">
        <v>0</v>
      </c>
      <c r="G30" s="41">
        <v>0</v>
      </c>
      <c r="H30" s="1"/>
      <c r="I30" s="41">
        <v>0</v>
      </c>
    </row>
    <row r="31" spans="1:9" customFormat="1" ht="13.75" customHeight="1" x14ac:dyDescent="0.35">
      <c r="A31" s="32"/>
      <c r="B31" s="112" t="s">
        <v>1344</v>
      </c>
      <c r="C31" s="41">
        <v>0</v>
      </c>
      <c r="D31" s="41"/>
      <c r="E31" s="41">
        <v>0</v>
      </c>
      <c r="G31" s="41">
        <v>0</v>
      </c>
      <c r="H31" s="1"/>
      <c r="I31" s="41">
        <v>0</v>
      </c>
    </row>
    <row r="32" spans="1:9" customFormat="1" ht="14.15" customHeight="1" x14ac:dyDescent="0.35">
      <c r="A32" s="32"/>
      <c r="B32" s="105" t="s">
        <v>1345</v>
      </c>
      <c r="C32" s="41">
        <v>0</v>
      </c>
      <c r="D32" s="41"/>
      <c r="E32" s="41">
        <v>0</v>
      </c>
      <c r="G32" s="41">
        <v>0</v>
      </c>
      <c r="H32" s="1"/>
      <c r="I32" s="41">
        <v>0</v>
      </c>
    </row>
    <row r="33" spans="1:15" s="2" customFormat="1" ht="14.15" customHeight="1" x14ac:dyDescent="0.35">
      <c r="A33" s="30"/>
      <c r="B33" s="105" t="s">
        <v>882</v>
      </c>
      <c r="C33" s="41">
        <v>0</v>
      </c>
      <c r="D33" s="41"/>
      <c r="E33" s="41">
        <v>0</v>
      </c>
      <c r="G33" s="41">
        <v>0</v>
      </c>
      <c r="H33" s="1"/>
      <c r="I33" s="41">
        <v>0</v>
      </c>
      <c r="J33"/>
      <c r="K33"/>
      <c r="L33"/>
      <c r="M33"/>
      <c r="N33"/>
      <c r="O33"/>
    </row>
    <row r="34" spans="1:15" s="2" customFormat="1" ht="14.15" customHeight="1" x14ac:dyDescent="0.35">
      <c r="A34" s="30"/>
      <c r="B34" s="142" t="s">
        <v>1346</v>
      </c>
      <c r="C34" s="43">
        <f>SUM(C28:C33)</f>
        <v>0</v>
      </c>
      <c r="D34" s="26"/>
      <c r="E34" s="43">
        <f>SUM(E28:E33)</f>
        <v>0</v>
      </c>
      <c r="G34" s="43">
        <f>SUM(G28:G33)</f>
        <v>0</v>
      </c>
      <c r="H34" s="26"/>
      <c r="I34" s="43">
        <f>SUM(I28:I33)</f>
        <v>0</v>
      </c>
      <c r="J34"/>
      <c r="K34"/>
      <c r="L34"/>
      <c r="M34"/>
      <c r="N34"/>
      <c r="O34"/>
    </row>
    <row r="35" spans="1:15" s="2" customFormat="1" ht="14.15" customHeight="1" x14ac:dyDescent="0.35">
      <c r="A35" s="30"/>
      <c r="B35" s="105" t="s">
        <v>1347</v>
      </c>
      <c r="C35" s="41">
        <v>0</v>
      </c>
      <c r="D35" s="41"/>
      <c r="E35" s="41">
        <v>0</v>
      </c>
      <c r="G35" s="41">
        <v>0</v>
      </c>
      <c r="H35" s="1"/>
      <c r="I35" s="41">
        <v>0</v>
      </c>
      <c r="J35"/>
      <c r="K35"/>
      <c r="L35"/>
      <c r="M35"/>
      <c r="N35"/>
      <c r="O35"/>
    </row>
    <row r="36" spans="1:15" s="2" customFormat="1" ht="14.15" customHeight="1" x14ac:dyDescent="0.25">
      <c r="A36" s="30"/>
      <c r="B36" s="105" t="s">
        <v>1087</v>
      </c>
      <c r="C36" s="41">
        <v>0</v>
      </c>
      <c r="D36" s="41"/>
      <c r="E36" s="41">
        <v>0</v>
      </c>
      <c r="G36" s="41">
        <v>0</v>
      </c>
      <c r="H36" s="1"/>
      <c r="I36" s="41">
        <v>0</v>
      </c>
    </row>
    <row r="37" spans="1:15" s="2" customFormat="1" ht="14.15" customHeight="1" x14ac:dyDescent="0.25">
      <c r="A37" s="30"/>
      <c r="B37" s="105" t="s">
        <v>1088</v>
      </c>
      <c r="C37" s="41">
        <v>0</v>
      </c>
      <c r="D37" s="41"/>
      <c r="E37" s="41">
        <v>0</v>
      </c>
      <c r="G37" s="41">
        <v>0</v>
      </c>
      <c r="H37" s="1"/>
      <c r="I37" s="41">
        <v>0</v>
      </c>
    </row>
    <row r="38" spans="1:15" s="2" customFormat="1" ht="14.15" customHeight="1" thickBot="1" x14ac:dyDescent="0.3">
      <c r="A38" s="30"/>
      <c r="B38" s="28" t="s">
        <v>1348</v>
      </c>
      <c r="C38" s="42">
        <f>SUM(C34:C37)</f>
        <v>0</v>
      </c>
      <c r="D38" s="26"/>
      <c r="E38" s="42">
        <f>SUM(E34:E37)</f>
        <v>0</v>
      </c>
      <c r="G38" s="42">
        <f>SUM(G34:G37)</f>
        <v>0</v>
      </c>
      <c r="H38" s="26"/>
      <c r="I38" s="42">
        <f>SUM(I34:I37)</f>
        <v>0</v>
      </c>
    </row>
    <row r="39" spans="1:15" s="2" customFormat="1" ht="14.15" customHeight="1" thickTop="1" x14ac:dyDescent="0.25">
      <c r="A39" s="30"/>
      <c r="B39" s="133" t="s">
        <v>1349</v>
      </c>
      <c r="C39" s="193"/>
      <c r="D39" s="194"/>
      <c r="G39" s="1"/>
      <c r="H39" s="41"/>
      <c r="I39" s="41"/>
    </row>
    <row r="40" spans="1:15" s="2" customFormat="1" ht="14.15" customHeight="1" x14ac:dyDescent="0.25">
      <c r="A40" s="30"/>
      <c r="B40" s="105" t="s">
        <v>1406</v>
      </c>
      <c r="C40" s="41"/>
      <c r="D40" s="194"/>
      <c r="E40" s="41">
        <v>0</v>
      </c>
      <c r="G40" s="1"/>
      <c r="H40" s="41"/>
      <c r="I40" s="41">
        <v>0</v>
      </c>
    </row>
    <row r="41" spans="1:15" s="2" customFormat="1" ht="14.15" customHeight="1" x14ac:dyDescent="0.25">
      <c r="A41" s="30"/>
      <c r="B41" s="105" t="s">
        <v>1407</v>
      </c>
      <c r="C41" s="41"/>
      <c r="D41" s="194"/>
      <c r="E41" s="41">
        <v>0</v>
      </c>
      <c r="G41" s="1"/>
      <c r="H41" s="41"/>
      <c r="I41" s="41">
        <v>0</v>
      </c>
    </row>
    <row r="42" spans="1:15" s="2" customFormat="1" ht="27.75" customHeight="1" x14ac:dyDescent="0.25">
      <c r="A42" s="30"/>
      <c r="B42" s="480" t="s">
        <v>1408</v>
      </c>
      <c r="C42" s="480"/>
      <c r="D42" s="480"/>
      <c r="E42" s="480"/>
      <c r="F42" s="480"/>
      <c r="G42" s="480"/>
      <c r="H42" s="480"/>
      <c r="I42" s="480"/>
    </row>
    <row r="43" spans="1:15" ht="14.15" customHeight="1" x14ac:dyDescent="0.25">
      <c r="D43" s="21"/>
      <c r="E43" s="21"/>
    </row>
    <row r="44" spans="1:15" ht="14.15" customHeight="1" x14ac:dyDescent="0.25">
      <c r="A44" s="31">
        <f>A23+0.1</f>
        <v>19.300000000000004</v>
      </c>
      <c r="B44" s="97" t="str">
        <f>"Note " &amp; A44 &amp;" Assets derecognised under finance leases with other DHSC group bodies"</f>
        <v>Note 19.3 Assets derecognised under finance leases with other DHSC group bodies</v>
      </c>
      <c r="D44" s="21"/>
      <c r="E44" s="21"/>
    </row>
    <row r="45" spans="1:15" ht="87.75" customHeight="1" x14ac:dyDescent="0.25">
      <c r="B45" s="480" t="s">
        <v>1409</v>
      </c>
      <c r="C45" s="480"/>
      <c r="D45" s="480"/>
      <c r="E45" s="480"/>
      <c r="F45" s="480"/>
      <c r="G45" s="480"/>
      <c r="H45" s="480"/>
      <c r="I45" s="480"/>
    </row>
    <row r="68" spans="1:1" ht="14.15" customHeight="1" x14ac:dyDescent="0.25">
      <c r="A68" s="1"/>
    </row>
    <row r="69" spans="1:1" ht="14.15" customHeight="1" x14ac:dyDescent="0.25">
      <c r="A69" s="1"/>
    </row>
    <row r="70" spans="1:1" ht="14.15" customHeight="1" x14ac:dyDescent="0.25">
      <c r="A70" s="1"/>
    </row>
    <row r="71" spans="1:1" ht="14.15" customHeight="1" x14ac:dyDescent="0.25">
      <c r="A71" s="1"/>
    </row>
    <row r="72" spans="1:1" ht="14.15" customHeight="1" x14ac:dyDescent="0.25">
      <c r="A72" s="1"/>
    </row>
    <row r="73" spans="1:1" ht="14.15" customHeight="1" x14ac:dyDescent="0.25">
      <c r="A73" s="1"/>
    </row>
    <row r="74" spans="1:1" ht="14.15" customHeight="1" x14ac:dyDescent="0.25">
      <c r="A74" s="1"/>
    </row>
    <row r="79" spans="1:1" ht="14.15" customHeight="1" x14ac:dyDescent="0.25">
      <c r="A79" s="1"/>
    </row>
    <row r="80" spans="1:1" ht="14.15" customHeight="1" x14ac:dyDescent="0.25">
      <c r="A80" s="1"/>
    </row>
    <row r="81" spans="1:1" ht="14.15" customHeight="1" x14ac:dyDescent="0.25">
      <c r="A81" s="1"/>
    </row>
  </sheetData>
  <customSheetViews>
    <customSheetView guid="{EDC1BD6E-863A-4FC6-A3A9-F32079F4F0C1}" topLeftCell="A7">
      <selection activeCell="K30" sqref="K30"/>
      <pageMargins left="0" right="0" top="0" bottom="0" header="0" footer="0"/>
      <pageSetup paperSize="9" orientation="portrait" verticalDpi="0" r:id="rId1"/>
    </customSheetView>
  </customSheetViews>
  <mergeCells count="6">
    <mergeCell ref="B45:I45"/>
    <mergeCell ref="B6:I6"/>
    <mergeCell ref="B4:I4"/>
    <mergeCell ref="B3:I3"/>
    <mergeCell ref="B21:I21"/>
    <mergeCell ref="B42:I42"/>
  </mergeCells>
  <pageMargins left="0.7" right="0.7" top="0.75" bottom="0.75" header="0.3" footer="0.3"/>
  <pageSetup paperSize="9" orientation="portrait"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tabColor rgb="FFFF0000"/>
  </sheetPr>
  <dimension ref="A1:I50"/>
  <sheetViews>
    <sheetView workbookViewId="0"/>
  </sheetViews>
  <sheetFormatPr defaultColWidth="9.1796875" defaultRowHeight="14.15" customHeight="1" x14ac:dyDescent="0.25"/>
  <cols>
    <col min="1" max="1" width="0.81640625" style="31" customWidth="1"/>
    <col min="2" max="2" width="62.81640625" style="1" customWidth="1"/>
    <col min="3" max="3" width="11.453125" style="1" customWidth="1"/>
    <col min="4" max="4" width="0.7265625" style="1" customWidth="1"/>
    <col min="5" max="5" width="11.453125" style="1" customWidth="1"/>
    <col min="6" max="16384" width="9.1796875" style="1"/>
  </cols>
  <sheetData>
    <row r="1" spans="1:9" ht="14.15" customHeight="1" x14ac:dyDescent="0.25">
      <c r="A1" s="31">
        <f>ROUNDDOWN('21-23 AHFS&amp;Cr'!A30,0)+1.1</f>
        <v>22.1</v>
      </c>
      <c r="B1" s="93" t="str">
        <f>"Note "&amp; A1&amp; " Cash and cash equivalents movements"</f>
        <v>Note 22.1 Cash and cash equivalents movements</v>
      </c>
    </row>
    <row r="2" spans="1:9" ht="7.5" customHeight="1" x14ac:dyDescent="0.25">
      <c r="B2" s="16"/>
    </row>
    <row r="3" spans="1:9" ht="25.5" customHeight="1" x14ac:dyDescent="0.25">
      <c r="B3" s="430" t="s">
        <v>1025</v>
      </c>
      <c r="C3" s="430"/>
      <c r="D3" s="430"/>
      <c r="E3" s="430"/>
      <c r="F3" s="110"/>
      <c r="G3" s="110"/>
      <c r="H3" s="110"/>
      <c r="I3" s="110"/>
    </row>
    <row r="4" spans="1:9" ht="10.9" customHeight="1" x14ac:dyDescent="0.25">
      <c r="B4" s="35"/>
      <c r="C4" s="35"/>
      <c r="D4" s="35"/>
      <c r="E4" s="35"/>
      <c r="F4" s="110"/>
      <c r="G4" s="110"/>
      <c r="H4" s="110"/>
      <c r="I4" s="110"/>
    </row>
    <row r="5" spans="1:9" ht="14.15" customHeight="1" x14ac:dyDescent="0.35">
      <c r="B5" s="14"/>
      <c r="C5" s="80" t="str">
        <f>CurrentFY</f>
        <v>2024/25</v>
      </c>
      <c r="D5" s="80"/>
      <c r="E5" s="80" t="str">
        <f>ComparativeFY</f>
        <v>2023/24</v>
      </c>
      <c r="G5"/>
      <c r="H5"/>
      <c r="I5"/>
    </row>
    <row r="6" spans="1:9" ht="14.15" customHeight="1" x14ac:dyDescent="0.35">
      <c r="B6" s="14"/>
      <c r="C6" s="80" t="s">
        <v>542</v>
      </c>
      <c r="D6" s="80"/>
      <c r="E6" s="80" t="s">
        <v>542</v>
      </c>
      <c r="G6"/>
      <c r="H6"/>
      <c r="I6"/>
    </row>
    <row r="7" spans="1:9" ht="14.15" customHeight="1" x14ac:dyDescent="0.35">
      <c r="B7" s="14" t="s">
        <v>1026</v>
      </c>
      <c r="C7" s="50">
        <f>E13</f>
        <v>61030</v>
      </c>
      <c r="D7" s="50"/>
      <c r="E7" s="50">
        <v>63755</v>
      </c>
      <c r="G7"/>
      <c r="H7"/>
      <c r="I7"/>
    </row>
    <row r="8" spans="1:9" ht="14.15" customHeight="1" x14ac:dyDescent="0.35">
      <c r="B8" s="105" t="s">
        <v>500</v>
      </c>
      <c r="C8" s="41"/>
      <c r="D8" s="41"/>
      <c r="E8" s="41">
        <v>0</v>
      </c>
      <c r="G8"/>
      <c r="H8"/>
      <c r="I8"/>
    </row>
    <row r="9" spans="1:9" ht="14.15" customHeight="1" x14ac:dyDescent="0.35">
      <c r="B9" s="14" t="s">
        <v>1027</v>
      </c>
      <c r="C9" s="43">
        <f>SUM(C7:C8)</f>
        <v>61030</v>
      </c>
      <c r="D9" s="41"/>
      <c r="E9" s="43">
        <f>SUM(E7:E8)</f>
        <v>63755</v>
      </c>
      <c r="G9"/>
      <c r="H9"/>
      <c r="I9"/>
    </row>
    <row r="10" spans="1:9" ht="14.15" hidden="1" customHeight="1" x14ac:dyDescent="0.35">
      <c r="B10" s="14" t="s">
        <v>944</v>
      </c>
      <c r="C10" s="50">
        <v>0</v>
      </c>
      <c r="D10" s="41"/>
      <c r="E10" s="50">
        <v>0</v>
      </c>
      <c r="G10" s="166" t="s">
        <v>1338</v>
      </c>
      <c r="H10"/>
      <c r="I10"/>
    </row>
    <row r="11" spans="1:9" ht="14.15" customHeight="1" x14ac:dyDescent="0.35">
      <c r="B11" s="105" t="s">
        <v>927</v>
      </c>
      <c r="C11" s="41">
        <v>0</v>
      </c>
      <c r="D11" s="41"/>
      <c r="E11" s="41">
        <v>0</v>
      </c>
      <c r="G11"/>
      <c r="H11"/>
      <c r="I11"/>
    </row>
    <row r="12" spans="1:9" ht="14.15" customHeight="1" x14ac:dyDescent="0.35">
      <c r="B12" s="105" t="s">
        <v>1028</v>
      </c>
      <c r="C12" s="41">
        <v>-1918</v>
      </c>
      <c r="D12" s="41"/>
      <c r="E12" s="41">
        <v>-2725</v>
      </c>
      <c r="G12"/>
      <c r="H12"/>
      <c r="I12"/>
    </row>
    <row r="13" spans="1:9" ht="14.15" customHeight="1" thickBot="1" x14ac:dyDescent="0.4">
      <c r="B13" s="93" t="s">
        <v>1029</v>
      </c>
      <c r="C13" s="42">
        <f>SUM(C9:C12)</f>
        <v>59112</v>
      </c>
      <c r="D13" s="41"/>
      <c r="E13" s="42">
        <f>SUM(E9:E12)</f>
        <v>61030</v>
      </c>
      <c r="G13"/>
      <c r="H13"/>
      <c r="I13"/>
    </row>
    <row r="14" spans="1:9" ht="14.15" customHeight="1" thickTop="1" x14ac:dyDescent="0.35">
      <c r="B14" s="14" t="s">
        <v>1030</v>
      </c>
      <c r="C14" s="41"/>
      <c r="D14" s="41"/>
      <c r="E14" s="41"/>
      <c r="G14"/>
      <c r="H14"/>
      <c r="I14"/>
    </row>
    <row r="15" spans="1:9" ht="14.15" customHeight="1" x14ac:dyDescent="0.35">
      <c r="B15" s="105" t="s">
        <v>1031</v>
      </c>
      <c r="C15" s="41">
        <v>2</v>
      </c>
      <c r="D15" s="41"/>
      <c r="E15" s="41">
        <v>2</v>
      </c>
      <c r="G15"/>
      <c r="H15"/>
      <c r="I15"/>
    </row>
    <row r="16" spans="1:9" ht="14.15" customHeight="1" x14ac:dyDescent="0.35">
      <c r="B16" s="105" t="s">
        <v>1032</v>
      </c>
      <c r="C16" s="41">
        <v>59110</v>
      </c>
      <c r="D16" s="41"/>
      <c r="E16" s="41">
        <v>61028</v>
      </c>
      <c r="G16"/>
      <c r="H16"/>
      <c r="I16"/>
    </row>
    <row r="17" spans="1:9" ht="14.15" customHeight="1" x14ac:dyDescent="0.35">
      <c r="B17" s="105" t="s">
        <v>1033</v>
      </c>
      <c r="C17" s="41">
        <v>0</v>
      </c>
      <c r="D17" s="41"/>
      <c r="E17" s="41">
        <v>0</v>
      </c>
      <c r="G17"/>
      <c r="H17"/>
      <c r="I17"/>
    </row>
    <row r="18" spans="1:9" ht="14.15" customHeight="1" x14ac:dyDescent="0.35">
      <c r="B18" s="105" t="s">
        <v>1034</v>
      </c>
      <c r="C18" s="41">
        <v>0</v>
      </c>
      <c r="D18" s="41"/>
      <c r="E18" s="41">
        <v>0</v>
      </c>
      <c r="G18"/>
      <c r="H18"/>
      <c r="I18"/>
    </row>
    <row r="19" spans="1:9" ht="14.15" customHeight="1" x14ac:dyDescent="0.35">
      <c r="B19" s="14" t="s">
        <v>1035</v>
      </c>
      <c r="C19" s="43">
        <f>SUM(C15:C18)</f>
        <v>59112</v>
      </c>
      <c r="D19" s="41"/>
      <c r="E19" s="43">
        <f>SUM(E15:E18)</f>
        <v>61030</v>
      </c>
      <c r="F19" s="14"/>
      <c r="G19"/>
      <c r="H19"/>
      <c r="I19"/>
    </row>
    <row r="20" spans="1:9" ht="14.15" customHeight="1" x14ac:dyDescent="0.35">
      <c r="B20" s="105" t="s">
        <v>1036</v>
      </c>
      <c r="C20" s="41">
        <v>0</v>
      </c>
      <c r="D20" s="41"/>
      <c r="E20" s="41">
        <v>0</v>
      </c>
      <c r="G20"/>
      <c r="H20"/>
      <c r="I20"/>
    </row>
    <row r="21" spans="1:9" ht="14.15" customHeight="1" x14ac:dyDescent="0.35">
      <c r="B21" s="105" t="s">
        <v>1037</v>
      </c>
      <c r="C21" s="41">
        <v>0</v>
      </c>
      <c r="D21" s="41"/>
      <c r="E21" s="41">
        <v>0</v>
      </c>
      <c r="G21"/>
      <c r="H21"/>
      <c r="I21"/>
    </row>
    <row r="22" spans="1:9" ht="14.15" customHeight="1" thickBot="1" x14ac:dyDescent="0.4">
      <c r="B22" s="93" t="s">
        <v>1038</v>
      </c>
      <c r="C22" s="42">
        <f>SUM(C19:C21)</f>
        <v>59112</v>
      </c>
      <c r="D22" s="41"/>
      <c r="E22" s="42">
        <f>SUM(E19:E21)</f>
        <v>61030</v>
      </c>
      <c r="F22" s="14"/>
      <c r="G22"/>
      <c r="H22"/>
      <c r="I22"/>
    </row>
    <row r="23" spans="1:9" ht="14.15" customHeight="1" thickTop="1" x14ac:dyDescent="0.25">
      <c r="D23" s="41"/>
      <c r="H23" s="41"/>
    </row>
    <row r="24" spans="1:9" ht="14.15" customHeight="1" x14ac:dyDescent="0.25">
      <c r="D24" s="41"/>
      <c r="H24" s="41"/>
    </row>
    <row r="25" spans="1:9" s="245" customFormat="1" ht="14.15" hidden="1" customHeight="1" x14ac:dyDescent="0.25">
      <c r="A25" s="243">
        <f>A1+0.1</f>
        <v>22.200000000000003</v>
      </c>
      <c r="B25" s="221" t="str">
        <f>"Note "&amp;A25&amp; " Third party assets held by the trust"</f>
        <v>Note 22.2 Third party assets held by the trust</v>
      </c>
    </row>
    <row r="26" spans="1:9" s="245" customFormat="1" ht="14.15" hidden="1" customHeight="1" x14ac:dyDescent="0.25">
      <c r="A26" s="243"/>
      <c r="B26" s="506" t="str">
        <f xml:space="preserve"> SelectedFT &amp; " held cash and cash equivalents which relate to monies held by the Trust on behalf of patients or other parties and in which the trust has no beneficial interest. This has been excluded from the cash and cash equivalents figure reported in the accounts."</f>
        <v>North West Ambulance Service NHS Trust held cash and cash equivalents which relate to monies held by the Trust on behalf of patients or other parties and in which the trust has no beneficial interest. This has been excluded from the cash and cash equivalents figure reported in the accounts.</v>
      </c>
      <c r="C26" s="506"/>
      <c r="D26" s="506"/>
      <c r="E26" s="506"/>
    </row>
    <row r="27" spans="1:9" s="245" customFormat="1" ht="14.15" hidden="1" customHeight="1" x14ac:dyDescent="0.25">
      <c r="A27" s="243"/>
      <c r="B27" s="506"/>
      <c r="C27" s="506"/>
      <c r="D27" s="506"/>
      <c r="E27" s="506"/>
    </row>
    <row r="28" spans="1:9" s="245" customFormat="1" ht="14.15" hidden="1" customHeight="1" x14ac:dyDescent="0.25">
      <c r="A28" s="243"/>
      <c r="B28" s="506"/>
      <c r="C28" s="506"/>
      <c r="D28" s="506"/>
      <c r="E28" s="506"/>
    </row>
    <row r="29" spans="1:9" s="245" customFormat="1" ht="14.15" hidden="1" customHeight="1" x14ac:dyDescent="0.25">
      <c r="A29" s="243"/>
      <c r="B29" s="506"/>
      <c r="C29" s="506"/>
      <c r="D29" s="506"/>
      <c r="E29" s="506"/>
    </row>
    <row r="30" spans="1:9" s="245" customFormat="1" ht="23" hidden="1" x14ac:dyDescent="0.25">
      <c r="A30" s="243"/>
      <c r="C30" s="266" t="str">
        <f>TEXT(CurrentYearEnd, "d mmmm yyyy")</f>
        <v>31 March 2025</v>
      </c>
      <c r="D30" s="266"/>
      <c r="E30" s="266" t="str">
        <f>TEXT(ComparativeYearEnd, "d mmmm yyyy")</f>
        <v>31 March 2024</v>
      </c>
    </row>
    <row r="31" spans="1:9" s="245" customFormat="1" ht="14.15" hidden="1" customHeight="1" x14ac:dyDescent="0.25">
      <c r="A31" s="243"/>
      <c r="C31" s="266" t="s">
        <v>542</v>
      </c>
      <c r="D31" s="266"/>
      <c r="E31" s="266" t="s">
        <v>542</v>
      </c>
    </row>
    <row r="32" spans="1:9" s="245" customFormat="1" ht="14.15" hidden="1" customHeight="1" x14ac:dyDescent="0.25">
      <c r="A32" s="243"/>
      <c r="B32" s="216" t="s">
        <v>1039</v>
      </c>
      <c r="C32" s="218">
        <v>0</v>
      </c>
      <c r="D32" s="218"/>
      <c r="E32" s="218">
        <v>0</v>
      </c>
    </row>
    <row r="33" spans="1:5" s="245" customFormat="1" ht="14.15" hidden="1" customHeight="1" x14ac:dyDescent="0.25">
      <c r="A33" s="243"/>
      <c r="B33" s="216" t="s">
        <v>1040</v>
      </c>
      <c r="C33" s="218">
        <v>0</v>
      </c>
      <c r="D33" s="218"/>
      <c r="E33" s="218">
        <v>0</v>
      </c>
    </row>
    <row r="34" spans="1:5" s="245" customFormat="1" ht="14.15" hidden="1" customHeight="1" thickBot="1" x14ac:dyDescent="0.3">
      <c r="A34" s="243"/>
      <c r="B34" s="221" t="s">
        <v>1041</v>
      </c>
      <c r="C34" s="290">
        <f>SUM(C32:C33)</f>
        <v>0</v>
      </c>
      <c r="D34" s="218"/>
      <c r="E34" s="290">
        <f>SUM(E32:E33)</f>
        <v>0</v>
      </c>
    </row>
    <row r="35" spans="1:5" s="245" customFormat="1" ht="14.15" hidden="1" customHeight="1" thickTop="1" x14ac:dyDescent="0.25">
      <c r="A35" s="243"/>
    </row>
    <row r="36" spans="1:5" ht="14.15" customHeight="1" x14ac:dyDescent="0.25">
      <c r="A36" s="1"/>
    </row>
    <row r="37" spans="1:5" ht="14.15" customHeight="1" x14ac:dyDescent="0.25">
      <c r="A37" s="1"/>
    </row>
    <row r="38" spans="1:5" ht="14.15" customHeight="1" x14ac:dyDescent="0.25">
      <c r="A38" s="1"/>
    </row>
    <row r="39" spans="1:5" ht="14.15" customHeight="1" x14ac:dyDescent="0.25">
      <c r="A39" s="1"/>
    </row>
    <row r="40" spans="1:5" ht="14.15" customHeight="1" x14ac:dyDescent="0.25">
      <c r="A40" s="1"/>
    </row>
    <row r="42" spans="1:5" ht="14.15" customHeight="1" x14ac:dyDescent="0.25">
      <c r="A42" s="1"/>
    </row>
    <row r="48" spans="1:5" ht="14.15" customHeight="1" x14ac:dyDescent="0.25">
      <c r="A48" s="1"/>
    </row>
    <row r="49" spans="1:1" ht="14.15" customHeight="1" x14ac:dyDescent="0.25">
      <c r="A49" s="1"/>
    </row>
    <row r="50" spans="1:1" ht="14.15" customHeight="1" x14ac:dyDescent="0.25">
      <c r="A50" s="1"/>
    </row>
  </sheetData>
  <customSheetViews>
    <customSheetView guid="{EDC1BD6E-863A-4FC6-A3A9-F32079F4F0C1}" topLeftCell="A16">
      <selection activeCell="O48" sqref="O48"/>
      <pageMargins left="0" right="0" top="0" bottom="0" header="0" footer="0"/>
      <pageSetup paperSize="9" orientation="portrait" verticalDpi="0" r:id="rId1"/>
    </customSheetView>
  </customSheetViews>
  <mergeCells count="2">
    <mergeCell ref="B3:E3"/>
    <mergeCell ref="B26:E29"/>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W55"/>
  <sheetViews>
    <sheetView workbookViewId="0"/>
  </sheetViews>
  <sheetFormatPr defaultColWidth="9.1796875" defaultRowHeight="11.5" x14ac:dyDescent="0.25"/>
  <cols>
    <col min="1" max="1" width="1" style="2" customWidth="1"/>
    <col min="2" max="2" width="54.54296875" style="2" customWidth="1"/>
    <col min="3" max="3" width="6.26953125" style="2" customWidth="1"/>
    <col min="4" max="4" width="12" style="2" bestFit="1" customWidth="1"/>
    <col min="5" max="5" width="0.81640625" style="2" customWidth="1"/>
    <col min="6" max="6" width="12" style="2" bestFit="1" customWidth="1"/>
    <col min="7" max="7" width="11" style="2" hidden="1" customWidth="1"/>
    <col min="8" max="25" width="0" style="2" hidden="1" customWidth="1"/>
    <col min="26" max="16384" width="9.1796875" style="2"/>
  </cols>
  <sheetData>
    <row r="1" spans="2:7" ht="15" customHeight="1" x14ac:dyDescent="0.35">
      <c r="B1" s="114" t="s">
        <v>460</v>
      </c>
      <c r="D1" s="6"/>
      <c r="E1" s="6"/>
      <c r="F1" s="6"/>
    </row>
    <row r="2" spans="2:7" ht="15.75" customHeight="1" x14ac:dyDescent="0.25">
      <c r="D2" s="106" t="str">
        <f>CurrentFY</f>
        <v>2024/25</v>
      </c>
      <c r="E2" s="106"/>
      <c r="F2" s="107" t="str">
        <f>ComparativeFY</f>
        <v>2023/24</v>
      </c>
    </row>
    <row r="3" spans="2:7" ht="18" customHeight="1" x14ac:dyDescent="0.25">
      <c r="B3" s="7"/>
      <c r="C3" s="89" t="s">
        <v>461</v>
      </c>
      <c r="D3" s="108" t="s">
        <v>462</v>
      </c>
      <c r="E3" s="108"/>
      <c r="F3" s="108" t="s">
        <v>462</v>
      </c>
    </row>
    <row r="4" spans="2:7" ht="14.15" customHeight="1" x14ac:dyDescent="0.25">
      <c r="B4" s="105" t="s">
        <v>463</v>
      </c>
      <c r="C4" s="91">
        <f>'3-4 Op Inc'!A11</f>
        <v>3</v>
      </c>
      <c r="D4" s="41">
        <v>540410</v>
      </c>
      <c r="E4" s="37"/>
      <c r="F4" s="41">
        <v>498362</v>
      </c>
      <c r="G4" s="19"/>
    </row>
    <row r="5" spans="2:7" ht="14.15" customHeight="1" x14ac:dyDescent="0.25">
      <c r="B5" s="105" t="s">
        <v>464</v>
      </c>
      <c r="C5" s="91">
        <f>'Op Inc 2'!A9</f>
        <v>4</v>
      </c>
      <c r="D5" s="41">
        <v>14345</v>
      </c>
      <c r="E5" s="37"/>
      <c r="F5" s="41">
        <v>13634</v>
      </c>
      <c r="G5" s="19"/>
    </row>
    <row r="6" spans="2:7" ht="14.15" customHeight="1" x14ac:dyDescent="0.25">
      <c r="B6" s="105" t="s">
        <v>465</v>
      </c>
      <c r="C6" s="91">
        <v>6</v>
      </c>
      <c r="D6" s="41">
        <v>-552987</v>
      </c>
      <c r="E6" s="37"/>
      <c r="F6" s="41">
        <v>-513266</v>
      </c>
    </row>
    <row r="7" spans="2:7" ht="14.15" customHeight="1" x14ac:dyDescent="0.25">
      <c r="B7" s="93" t="s">
        <v>466</v>
      </c>
      <c r="C7" s="91"/>
      <c r="D7" s="43">
        <f>SUM(D4:D6)</f>
        <v>1768</v>
      </c>
      <c r="E7" s="38"/>
      <c r="F7" s="43">
        <f>SUM(F4:F6)</f>
        <v>-1270</v>
      </c>
    </row>
    <row r="8" spans="2:7" ht="12.25" customHeight="1" x14ac:dyDescent="0.25">
      <c r="B8" s="93"/>
      <c r="C8" s="91"/>
      <c r="D8" s="38"/>
      <c r="E8" s="38"/>
      <c r="F8" s="38"/>
    </row>
    <row r="9" spans="2:7" ht="14.15" customHeight="1" x14ac:dyDescent="0.25">
      <c r="B9" s="105" t="s">
        <v>467</v>
      </c>
      <c r="C9" s="91">
        <f>'Finance &amp; other'!A1</f>
        <v>10</v>
      </c>
      <c r="D9" s="41">
        <v>4405</v>
      </c>
      <c r="E9" s="37"/>
      <c r="F9" s="41">
        <v>4297</v>
      </c>
    </row>
    <row r="10" spans="2:7" ht="14.15" customHeight="1" x14ac:dyDescent="0.25">
      <c r="B10" s="105" t="s">
        <v>468</v>
      </c>
      <c r="C10" s="91">
        <f>ROUNDDOWN('Finance &amp; other'!A11,0)</f>
        <v>11</v>
      </c>
      <c r="D10" s="41">
        <v>-620</v>
      </c>
      <c r="E10" s="37"/>
      <c r="F10" s="41">
        <v>-440</v>
      </c>
    </row>
    <row r="11" spans="2:7" ht="14.15" customHeight="1" x14ac:dyDescent="0.25">
      <c r="B11" s="105" t="s">
        <v>469</v>
      </c>
      <c r="C11" s="91"/>
      <c r="D11" s="41">
        <v>-664</v>
      </c>
      <c r="E11" s="37"/>
      <c r="F11" s="41">
        <v>-498</v>
      </c>
    </row>
    <row r="12" spans="2:7" ht="14.15" customHeight="1" x14ac:dyDescent="0.25">
      <c r="B12" s="93" t="s">
        <v>470</v>
      </c>
      <c r="C12" s="91"/>
      <c r="D12" s="43">
        <f>SUM(D9:D11)</f>
        <v>3121</v>
      </c>
      <c r="E12" s="38"/>
      <c r="F12" s="43">
        <f>SUM(F9:F11)</f>
        <v>3359</v>
      </c>
    </row>
    <row r="13" spans="2:7" ht="13.75" customHeight="1" x14ac:dyDescent="0.25">
      <c r="B13" s="105" t="s">
        <v>471</v>
      </c>
      <c r="C13" s="91">
        <f>'Finance &amp; other'!A38</f>
        <v>12</v>
      </c>
      <c r="D13" s="41">
        <v>332</v>
      </c>
      <c r="E13" s="37"/>
      <c r="F13" s="41">
        <v>-291</v>
      </c>
    </row>
    <row r="14" spans="2:7" s="220" customFormat="1" ht="13.75" hidden="1" customHeight="1" x14ac:dyDescent="0.25">
      <c r="B14" s="216" t="s">
        <v>472</v>
      </c>
      <c r="C14" s="91">
        <f>ROUNDDOWN('Inv in assoc &amp; JVs, other inv'!A1,0)</f>
        <v>17</v>
      </c>
      <c r="D14" s="218">
        <v>0</v>
      </c>
      <c r="E14" s="219"/>
      <c r="F14" s="218">
        <v>0</v>
      </c>
    </row>
    <row r="15" spans="2:7" s="220" customFormat="1" ht="13.75" hidden="1" customHeight="1" x14ac:dyDescent="0.25">
      <c r="B15" s="216" t="s">
        <v>473</v>
      </c>
      <c r="C15" s="91">
        <f>'32-35 RP,CRL&amp;BE'!A61</f>
        <v>33</v>
      </c>
      <c r="D15" s="218">
        <v>0</v>
      </c>
      <c r="E15" s="219"/>
      <c r="F15" s="218">
        <v>0</v>
      </c>
    </row>
    <row r="16" spans="2:7" s="220" customFormat="1" ht="14.15" hidden="1" customHeight="1" x14ac:dyDescent="0.25">
      <c r="B16" s="216" t="s">
        <v>474</v>
      </c>
      <c r="C16" s="91"/>
      <c r="D16" s="218">
        <v>0</v>
      </c>
      <c r="E16" s="219"/>
      <c r="F16" s="218">
        <v>0</v>
      </c>
    </row>
    <row r="17" spans="2:6" s="220" customFormat="1" ht="14.15" hidden="1" customHeight="1" x14ac:dyDescent="0.25">
      <c r="B17" s="221" t="s">
        <v>475</v>
      </c>
      <c r="C17" s="91"/>
      <c r="D17" s="222">
        <f>SUM(D12:D16)+D7</f>
        <v>5221</v>
      </c>
      <c r="E17" s="223"/>
      <c r="F17" s="222">
        <f>SUM(F12:F16)+F7</f>
        <v>1798</v>
      </c>
    </row>
    <row r="18" spans="2:6" s="220" customFormat="1" ht="27.75" hidden="1" customHeight="1" x14ac:dyDescent="0.25">
      <c r="B18" s="216" t="s">
        <v>476</v>
      </c>
      <c r="C18" s="91">
        <f>ROUNDDOWN(Discontinued!A8,0)</f>
        <v>14</v>
      </c>
      <c r="D18" s="218">
        <v>0</v>
      </c>
      <c r="E18" s="223"/>
      <c r="F18" s="218">
        <v>0</v>
      </c>
    </row>
    <row r="19" spans="2:6" ht="15" customHeight="1" thickBot="1" x14ac:dyDescent="0.3">
      <c r="B19" s="93" t="s">
        <v>477</v>
      </c>
      <c r="C19" s="91"/>
      <c r="D19" s="42">
        <f>SUM(D17:D18)</f>
        <v>5221</v>
      </c>
      <c r="E19" s="38"/>
      <c r="F19" s="42">
        <f>SUM(F17:F18)</f>
        <v>1798</v>
      </c>
    </row>
    <row r="20" spans="2:6" ht="14.15" customHeight="1" thickTop="1" x14ac:dyDescent="0.25">
      <c r="B20" s="11"/>
      <c r="C20" s="91"/>
      <c r="D20" s="38"/>
      <c r="E20" s="38"/>
      <c r="F20" s="38"/>
    </row>
    <row r="21" spans="2:6" ht="13.75" customHeight="1" x14ac:dyDescent="0.25">
      <c r="B21" s="93" t="s">
        <v>478</v>
      </c>
      <c r="C21" s="91"/>
      <c r="D21" s="36"/>
      <c r="E21" s="37"/>
      <c r="F21" s="36"/>
    </row>
    <row r="22" spans="2:6" ht="18.75" customHeight="1" x14ac:dyDescent="0.25">
      <c r="B22" s="93" t="s">
        <v>479</v>
      </c>
      <c r="C22" s="91"/>
      <c r="D22" s="36"/>
      <c r="E22" s="37"/>
      <c r="F22" s="36"/>
    </row>
    <row r="23" spans="2:6" ht="14.15" customHeight="1" x14ac:dyDescent="0.25">
      <c r="B23" s="105" t="s">
        <v>480</v>
      </c>
      <c r="C23" s="91">
        <f>'7-8 Impair&amp;Pay'!A21</f>
        <v>7</v>
      </c>
      <c r="D23" s="41">
        <v>429</v>
      </c>
      <c r="E23" s="37"/>
      <c r="F23" s="41">
        <v>458</v>
      </c>
    </row>
    <row r="24" spans="2:6" ht="14.15" customHeight="1" x14ac:dyDescent="0.25">
      <c r="B24" s="105" t="s">
        <v>481</v>
      </c>
      <c r="C24" s="91">
        <v>14</v>
      </c>
      <c r="D24" s="41">
        <v>1389</v>
      </c>
      <c r="E24" s="37"/>
      <c r="F24" s="41">
        <v>1541</v>
      </c>
    </row>
    <row r="25" spans="2:6" s="220" customFormat="1" ht="13.75" hidden="1" customHeight="1" x14ac:dyDescent="0.25">
      <c r="B25" s="216" t="s">
        <v>482</v>
      </c>
      <c r="C25" s="91">
        <f>ROUNDDOWN('Inv in assoc &amp; JVs, other inv'!A1,0)</f>
        <v>17</v>
      </c>
      <c r="D25" s="218">
        <v>0</v>
      </c>
      <c r="E25" s="219"/>
      <c r="F25" s="218">
        <v>0</v>
      </c>
    </row>
    <row r="26" spans="2:6" s="220" customFormat="1" ht="24.4" hidden="1" customHeight="1" x14ac:dyDescent="0.25">
      <c r="B26" s="216" t="s">
        <v>483</v>
      </c>
      <c r="C26" s="91">
        <f>'Inv in assoc &amp; JVs, other inv'!A20</f>
        <v>18</v>
      </c>
      <c r="D26" s="218">
        <v>0</v>
      </c>
      <c r="E26" s="219"/>
      <c r="F26" s="218">
        <v>0</v>
      </c>
    </row>
    <row r="27" spans="2:6" s="220" customFormat="1" ht="13.75" hidden="1" customHeight="1" x14ac:dyDescent="0.25">
      <c r="B27" s="216" t="s">
        <v>484</v>
      </c>
      <c r="C27" s="91"/>
      <c r="D27" s="218">
        <v>0</v>
      </c>
      <c r="E27" s="219"/>
      <c r="F27" s="218">
        <v>0</v>
      </c>
    </row>
    <row r="28" spans="2:6" s="220" customFormat="1" ht="13.75" hidden="1" customHeight="1" x14ac:dyDescent="0.25">
      <c r="B28" s="216" t="s">
        <v>485</v>
      </c>
      <c r="C28" s="91">
        <f>ROUNDDOWN(Pension!A1,0)</f>
        <v>30</v>
      </c>
      <c r="D28" s="218">
        <v>0</v>
      </c>
      <c r="E28" s="219"/>
      <c r="F28" s="218">
        <v>0</v>
      </c>
    </row>
    <row r="29" spans="2:6" s="220" customFormat="1" ht="14.15" hidden="1" customHeight="1" x14ac:dyDescent="0.25">
      <c r="B29" s="216" t="s">
        <v>486</v>
      </c>
      <c r="C29" s="91"/>
      <c r="D29" s="218">
        <v>0</v>
      </c>
      <c r="E29" s="219"/>
      <c r="F29" s="218">
        <v>0</v>
      </c>
    </row>
    <row r="30" spans="2:6" s="220" customFormat="1" ht="21.75" hidden="1" customHeight="1" x14ac:dyDescent="0.25">
      <c r="B30" s="221" t="s">
        <v>487</v>
      </c>
      <c r="C30" s="91"/>
      <c r="D30" s="218"/>
      <c r="E30" s="219"/>
      <c r="F30" s="218"/>
    </row>
    <row r="31" spans="2:6" s="220" customFormat="1" ht="24.4" hidden="1" customHeight="1" x14ac:dyDescent="0.25">
      <c r="B31" s="216" t="s">
        <v>488</v>
      </c>
      <c r="C31" s="91">
        <f>'Inv in assoc &amp; JVs, other inv'!A20</f>
        <v>18</v>
      </c>
      <c r="D31" s="218">
        <v>0</v>
      </c>
      <c r="E31" s="219"/>
      <c r="F31" s="218">
        <v>0</v>
      </c>
    </row>
    <row r="32" spans="2:6" s="220" customFormat="1" ht="25.15" hidden="1" customHeight="1" x14ac:dyDescent="0.25">
      <c r="B32" s="216" t="s">
        <v>489</v>
      </c>
      <c r="C32" s="91">
        <f>'Finance &amp; other'!A38</f>
        <v>12</v>
      </c>
      <c r="D32" s="218">
        <v>0</v>
      </c>
      <c r="E32" s="219"/>
      <c r="F32" s="218">
        <v>0</v>
      </c>
    </row>
    <row r="33" spans="1:23" s="220" customFormat="1" ht="14.15" hidden="1" customHeight="1" x14ac:dyDescent="0.25">
      <c r="B33" s="216" t="s">
        <v>490</v>
      </c>
      <c r="C33" s="91"/>
      <c r="D33" s="218">
        <v>0</v>
      </c>
      <c r="E33" s="219"/>
      <c r="F33" s="218">
        <v>0</v>
      </c>
    </row>
    <row r="34" spans="1:23" ht="16" customHeight="1" thickBot="1" x14ac:dyDescent="0.3">
      <c r="B34" s="93" t="s">
        <v>491</v>
      </c>
      <c r="C34" s="91"/>
      <c r="D34" s="42">
        <f>SUM(D19:D33)</f>
        <v>7039</v>
      </c>
      <c r="E34" s="38"/>
      <c r="F34" s="42">
        <f>SUM(F19:F33)</f>
        <v>3797</v>
      </c>
    </row>
    <row r="35" spans="1:23" ht="13.75" customHeight="1" thickTop="1" x14ac:dyDescent="0.25">
      <c r="B35" s="363"/>
    </row>
    <row r="36" spans="1:23" s="220" customFormat="1" ht="18.5" hidden="1" thickBot="1" x14ac:dyDescent="0.45">
      <c r="A36" s="2"/>
      <c r="B36" s="364" t="s">
        <v>492</v>
      </c>
      <c r="G36" s="362" t="s">
        <v>493</v>
      </c>
      <c r="H36" s="231"/>
      <c r="I36" s="231"/>
      <c r="J36" s="231"/>
      <c r="K36" s="231"/>
      <c r="L36" s="231"/>
      <c r="M36" s="231"/>
      <c r="N36" s="231"/>
      <c r="O36" s="231"/>
      <c r="P36" s="231"/>
      <c r="Q36" s="231"/>
      <c r="R36" s="231"/>
      <c r="S36" s="231"/>
      <c r="T36" s="231"/>
      <c r="U36" s="231"/>
      <c r="V36" s="231"/>
      <c r="W36" s="232"/>
    </row>
    <row r="37" spans="1:23" s="220" customFormat="1" ht="13.75" hidden="1" customHeight="1" thickBot="1" x14ac:dyDescent="0.3">
      <c r="B37" s="255" t="s">
        <v>494</v>
      </c>
    </row>
    <row r="38" spans="1:23" s="220" customFormat="1" ht="13.75" hidden="1" customHeight="1" thickBot="1" x14ac:dyDescent="0.3">
      <c r="B38" s="216" t="s">
        <v>495</v>
      </c>
      <c r="D38" s="218">
        <f>D19</f>
        <v>5221</v>
      </c>
      <c r="E38" s="218"/>
      <c r="F38" s="218">
        <v>1798</v>
      </c>
      <c r="G38" s="362" t="s">
        <v>496</v>
      </c>
      <c r="H38" s="231"/>
      <c r="I38" s="231"/>
      <c r="J38" s="231"/>
      <c r="K38" s="231"/>
      <c r="L38" s="231"/>
      <c r="M38" s="231"/>
      <c r="N38" s="231"/>
      <c r="O38" s="231"/>
      <c r="P38" s="231"/>
      <c r="Q38" s="231"/>
      <c r="R38" s="231"/>
      <c r="S38" s="231"/>
      <c r="T38" s="231"/>
      <c r="U38" s="231"/>
      <c r="V38" s="231"/>
      <c r="W38" s="232"/>
    </row>
    <row r="39" spans="1:23" s="220" customFormat="1" ht="13.75" hidden="1" customHeight="1" x14ac:dyDescent="0.25">
      <c r="B39" s="224" t="s">
        <v>497</v>
      </c>
      <c r="D39" s="218">
        <v>854</v>
      </c>
      <c r="E39" s="218"/>
      <c r="F39" s="218">
        <v>3664</v>
      </c>
    </row>
    <row r="40" spans="1:23" s="220" customFormat="1" ht="13.75" hidden="1" customHeight="1" x14ac:dyDescent="0.25">
      <c r="B40" s="216" t="s">
        <v>498</v>
      </c>
      <c r="D40" s="218">
        <v>0</v>
      </c>
      <c r="E40" s="218"/>
      <c r="F40" s="218">
        <v>0</v>
      </c>
    </row>
    <row r="41" spans="1:23" s="220" customFormat="1" ht="13.75" hidden="1" customHeight="1" x14ac:dyDescent="0.25">
      <c r="B41" s="216" t="s">
        <v>499</v>
      </c>
      <c r="D41" s="218">
        <v>172</v>
      </c>
      <c r="E41" s="218"/>
      <c r="F41" s="218">
        <v>174</v>
      </c>
    </row>
    <row r="42" spans="1:23" s="220" customFormat="1" ht="13.75" hidden="1" customHeight="1" x14ac:dyDescent="0.25">
      <c r="B42" s="216" t="s">
        <v>500</v>
      </c>
      <c r="D42" s="218">
        <v>0</v>
      </c>
      <c r="E42" s="218"/>
      <c r="F42" s="218">
        <v>0</v>
      </c>
    </row>
    <row r="43" spans="1:23" s="220" customFormat="1" ht="13.75" hidden="1" customHeight="1" x14ac:dyDescent="0.25">
      <c r="B43" s="216" t="s">
        <v>501</v>
      </c>
      <c r="D43" s="218">
        <v>0</v>
      </c>
      <c r="E43" s="218"/>
      <c r="F43" s="218">
        <v>0</v>
      </c>
    </row>
    <row r="44" spans="1:23" s="220" customFormat="1" ht="13.5" hidden="1" customHeight="1" x14ac:dyDescent="0.25">
      <c r="B44" s="216" t="s">
        <v>1557</v>
      </c>
      <c r="D44" s="218">
        <v>0</v>
      </c>
      <c r="E44" s="218"/>
      <c r="F44" s="218">
        <v>0</v>
      </c>
    </row>
    <row r="45" spans="1:23" s="220" customFormat="1" ht="13.5" hidden="1" customHeight="1" x14ac:dyDescent="0.25">
      <c r="B45" s="216" t="s">
        <v>1558</v>
      </c>
      <c r="D45" s="218">
        <v>0</v>
      </c>
      <c r="E45" s="218"/>
      <c r="F45" s="218"/>
    </row>
    <row r="46" spans="1:23" s="220" customFormat="1" ht="13.5" hidden="1" customHeight="1" x14ac:dyDescent="0.25">
      <c r="B46" s="216" t="s">
        <v>1559</v>
      </c>
      <c r="D46" s="218"/>
      <c r="E46" s="218"/>
      <c r="F46" s="218">
        <v>0</v>
      </c>
    </row>
    <row r="47" spans="1:23" s="220" customFormat="1" ht="13.5" hidden="1" customHeight="1" x14ac:dyDescent="0.25">
      <c r="B47" s="216" t="s">
        <v>1496</v>
      </c>
      <c r="D47" s="218">
        <v>41</v>
      </c>
      <c r="E47" s="218"/>
      <c r="F47" s="218">
        <v>48</v>
      </c>
    </row>
    <row r="48" spans="1:23" s="220" customFormat="1" ht="13.5" hidden="1" customHeight="1" x14ac:dyDescent="0.25">
      <c r="B48" s="216" t="s">
        <v>1318</v>
      </c>
      <c r="D48" s="218">
        <v>0</v>
      </c>
      <c r="E48" s="218"/>
      <c r="F48" s="218">
        <v>163</v>
      </c>
    </row>
    <row r="49" spans="2:6" s="220" customFormat="1" ht="13.5" hidden="1" customHeight="1" x14ac:dyDescent="0.25">
      <c r="B49" s="224" t="s">
        <v>1526</v>
      </c>
      <c r="D49" s="218">
        <v>0</v>
      </c>
      <c r="E49" s="218"/>
      <c r="F49" s="218">
        <v>0</v>
      </c>
    </row>
    <row r="50" spans="2:6" s="220" customFormat="1" ht="13.5" hidden="1" customHeight="1" x14ac:dyDescent="0.25">
      <c r="B50" s="224" t="s">
        <v>1556</v>
      </c>
      <c r="D50" s="218">
        <v>0</v>
      </c>
      <c r="E50" s="218"/>
      <c r="F50" s="218">
        <v>0</v>
      </c>
    </row>
    <row r="51" spans="2:6" s="220" customFormat="1" ht="13.75" hidden="1" customHeight="1" thickBot="1" x14ac:dyDescent="0.3">
      <c r="B51" s="255" t="s">
        <v>502</v>
      </c>
      <c r="D51" s="290">
        <f>SUM(D38:D49)</f>
        <v>6288</v>
      </c>
      <c r="F51" s="290">
        <f>SUM(F38:F49)</f>
        <v>5847</v>
      </c>
    </row>
    <row r="52" spans="2:6" ht="13.75" customHeight="1" x14ac:dyDescent="0.25"/>
    <row r="53" spans="2:6" ht="13.75" customHeight="1" x14ac:dyDescent="0.25">
      <c r="F53" s="196"/>
    </row>
    <row r="54" spans="2:6" ht="13.75" customHeight="1" x14ac:dyDescent="0.25"/>
    <row r="55" spans="2:6" ht="13.75" customHeight="1" x14ac:dyDescent="0.25"/>
  </sheetData>
  <customSheetViews>
    <customSheetView guid="{EDC1BD6E-863A-4FC6-A3A9-F32079F4F0C1}">
      <selection activeCell="B33" sqref="B33"/>
      <pageMargins left="0" right="0" top="0" bottom="0" header="0" footer="0"/>
      <pageSetup paperSize="9" orientation="portrait" r:id="rId1"/>
      <headerFooter>
        <oddHeader>&amp;LINSERT YOUR NHS Foundation Trust&amp;RStatement of accounts 2014/15</oddHeader>
      </headerFooter>
    </customSheetView>
  </customSheetViews>
  <pageMargins left="0.59055118110236227" right="0.59055118110236227" top="0.59055118110236227" bottom="0.59055118110236227" header="0" footer="0"/>
  <pageSetup paperSize="9" orientation="portrait" r:id="rId2"/>
  <headerFooter>
    <oddFooter>Page &amp;P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tabColor rgb="FFFF0000"/>
  </sheetPr>
  <dimension ref="A1:H63"/>
  <sheetViews>
    <sheetView workbookViewId="0"/>
  </sheetViews>
  <sheetFormatPr defaultColWidth="9.1796875" defaultRowHeight="14.15" customHeight="1" x14ac:dyDescent="0.25"/>
  <cols>
    <col min="1" max="1" width="0.81640625" style="31" customWidth="1"/>
    <col min="2" max="2" width="62.26953125" style="1" customWidth="1"/>
    <col min="3" max="3" width="11.453125" style="1" customWidth="1"/>
    <col min="4" max="4" width="0.7265625" style="1" customWidth="1"/>
    <col min="5" max="5" width="11.453125" style="1" customWidth="1"/>
    <col min="6" max="16384" width="9.1796875" style="1"/>
  </cols>
  <sheetData>
    <row r="1" spans="1:8" ht="14.15" customHeight="1" x14ac:dyDescent="0.25">
      <c r="A1" s="31">
        <f>ROUNDDOWN('Pension 2'!A50,0)+1</f>
        <v>31</v>
      </c>
      <c r="B1" s="93" t="str">
        <f>"Note "&amp; A1&amp; " On-SoFP PFI, LIFT or other service concession arrangements"</f>
        <v>Note 31 On-SoFP PFI, LIFT or other service concession arrangements</v>
      </c>
    </row>
    <row r="2" spans="1:8" ht="14.15" customHeight="1" x14ac:dyDescent="0.25">
      <c r="B2" s="16"/>
      <c r="H2" s="100"/>
    </row>
    <row r="3" spans="1:8" ht="14.15" customHeight="1" x14ac:dyDescent="0.25">
      <c r="B3" s="507" t="s">
        <v>1151</v>
      </c>
      <c r="C3" s="507"/>
      <c r="D3" s="507"/>
      <c r="E3" s="507"/>
    </row>
    <row r="4" spans="1:8" ht="14.15" customHeight="1" x14ac:dyDescent="0.25">
      <c r="B4" s="16"/>
    </row>
    <row r="5" spans="1:8" ht="14.15" customHeight="1" x14ac:dyDescent="0.25">
      <c r="A5" s="31">
        <f>A1+0.1</f>
        <v>31.1</v>
      </c>
      <c r="B5" s="93" t="str">
        <f>"Note "&amp;A5&amp; " On-SoFP PFI, LIFT or other service concession arrangement obligations"</f>
        <v>Note 31.1 On-SoFP PFI, LIFT or other service concession arrangement obligations</v>
      </c>
    </row>
    <row r="6" spans="1:8" ht="14.15" customHeight="1" x14ac:dyDescent="0.25">
      <c r="B6" s="432" t="s">
        <v>1152</v>
      </c>
      <c r="C6" s="432"/>
      <c r="D6" s="432"/>
      <c r="E6" s="432"/>
    </row>
    <row r="7" spans="1:8" ht="14.15" customHeight="1" x14ac:dyDescent="0.25">
      <c r="B7" s="432"/>
      <c r="C7" s="432"/>
      <c r="D7" s="432"/>
      <c r="E7" s="432"/>
    </row>
    <row r="8" spans="1:8" ht="25.5" customHeight="1" x14ac:dyDescent="0.25">
      <c r="B8" s="28"/>
      <c r="C8" s="80" t="str">
        <f>TEXT(CurrentYearEnd, "d mmmm yyyy")</f>
        <v>31 March 2025</v>
      </c>
      <c r="D8" s="80"/>
      <c r="E8" s="80" t="str">
        <f>TEXT(ComparativeYearEnd, "d mmmm yyyy")</f>
        <v>31 March 2024</v>
      </c>
    </row>
    <row r="9" spans="1:8" ht="14.15" customHeight="1" x14ac:dyDescent="0.25">
      <c r="C9" s="80" t="s">
        <v>542</v>
      </c>
      <c r="D9" s="80"/>
      <c r="E9" s="80" t="s">
        <v>542</v>
      </c>
    </row>
    <row r="10" spans="1:8" ht="13.75" customHeight="1" x14ac:dyDescent="0.25">
      <c r="B10" s="14" t="s">
        <v>1153</v>
      </c>
      <c r="C10" s="43">
        <f>SUM(C12:C14)</f>
        <v>0</v>
      </c>
      <c r="D10" s="41"/>
      <c r="E10" s="43">
        <f>SUM(E12:E14)</f>
        <v>0</v>
      </c>
    </row>
    <row r="11" spans="1:8" ht="14.15" customHeight="1" x14ac:dyDescent="0.25">
      <c r="B11" s="14" t="s">
        <v>1154</v>
      </c>
      <c r="C11" s="22"/>
      <c r="D11" s="41"/>
      <c r="E11" s="22"/>
    </row>
    <row r="12" spans="1:8" ht="14.15" customHeight="1" x14ac:dyDescent="0.25">
      <c r="B12" s="105" t="s">
        <v>880</v>
      </c>
      <c r="C12" s="41">
        <v>0</v>
      </c>
      <c r="D12" s="41"/>
      <c r="E12" s="41">
        <v>0</v>
      </c>
    </row>
    <row r="13" spans="1:8" ht="14.15" customHeight="1" x14ac:dyDescent="0.25">
      <c r="B13" s="105" t="s">
        <v>881</v>
      </c>
      <c r="C13" s="41">
        <v>0</v>
      </c>
      <c r="D13" s="41"/>
      <c r="E13" s="41">
        <v>0</v>
      </c>
    </row>
    <row r="14" spans="1:8" ht="14.15" customHeight="1" x14ac:dyDescent="0.25">
      <c r="B14" s="105" t="s">
        <v>882</v>
      </c>
      <c r="C14" s="41">
        <v>0</v>
      </c>
      <c r="D14" s="41"/>
      <c r="E14" s="41">
        <v>0</v>
      </c>
    </row>
    <row r="15" spans="1:8" ht="14.15" customHeight="1" x14ac:dyDescent="0.25">
      <c r="B15" s="1" t="s">
        <v>1089</v>
      </c>
      <c r="C15" s="41">
        <v>0</v>
      </c>
      <c r="D15" s="41"/>
      <c r="E15" s="41">
        <v>0</v>
      </c>
    </row>
    <row r="16" spans="1:8" ht="13.75" customHeight="1" thickBot="1" x14ac:dyDescent="0.3">
      <c r="B16" s="14" t="s">
        <v>1155</v>
      </c>
      <c r="C16" s="42">
        <f>SUM(C12:C15)</f>
        <v>0</v>
      </c>
      <c r="D16" s="41"/>
      <c r="E16" s="42">
        <f>SUM(E12:E15)</f>
        <v>0</v>
      </c>
    </row>
    <row r="17" spans="1:5" ht="14.15" customHeight="1" thickTop="1" x14ac:dyDescent="0.25">
      <c r="B17" s="105" t="s">
        <v>880</v>
      </c>
      <c r="C17" s="41">
        <v>0</v>
      </c>
      <c r="D17" s="41"/>
      <c r="E17" s="41">
        <v>0</v>
      </c>
    </row>
    <row r="18" spans="1:5" ht="14.15" customHeight="1" x14ac:dyDescent="0.25">
      <c r="B18" s="105" t="s">
        <v>881</v>
      </c>
      <c r="C18" s="41">
        <v>0</v>
      </c>
      <c r="D18" s="41"/>
      <c r="E18" s="41">
        <v>0</v>
      </c>
    </row>
    <row r="19" spans="1:5" ht="14.15" customHeight="1" x14ac:dyDescent="0.25">
      <c r="B19" s="105" t="s">
        <v>882</v>
      </c>
      <c r="C19" s="41">
        <v>0</v>
      </c>
      <c r="D19" s="41"/>
      <c r="E19" s="41">
        <v>0</v>
      </c>
    </row>
    <row r="20" spans="1:5" ht="14.15" customHeight="1" x14ac:dyDescent="0.25">
      <c r="C20" s="41"/>
      <c r="D20" s="41"/>
      <c r="E20" s="41"/>
    </row>
    <row r="21" spans="1:5" ht="14.15" customHeight="1" x14ac:dyDescent="0.25">
      <c r="A21" s="31">
        <f>A5+0.1</f>
        <v>31.200000000000003</v>
      </c>
      <c r="B21" s="93" t="str">
        <f>"Note "&amp; A21&amp; " Total on-SoFP PFI, LIFT and other service concession arrangement commitments"</f>
        <v>Note 31.2 Total on-SoFP PFI, LIFT and other service concession arrangement commitments</v>
      </c>
      <c r="D21" s="41"/>
    </row>
    <row r="22" spans="1:5" ht="14.15" customHeight="1" x14ac:dyDescent="0.25">
      <c r="B22" s="139" t="s">
        <v>1156</v>
      </c>
      <c r="C22" s="139"/>
      <c r="D22" s="139"/>
      <c r="E22" s="139"/>
    </row>
    <row r="23" spans="1:5" ht="31.75" customHeight="1" x14ac:dyDescent="0.25">
      <c r="B23" s="28"/>
      <c r="C23" s="80" t="str">
        <f>TEXT(CurrentYearEnd, "d mmmm yyyy")</f>
        <v>31 March 2025</v>
      </c>
      <c r="D23" s="80"/>
      <c r="E23" s="80" t="str">
        <f>TEXT(ComparativeYearEnd, "d mmmm yyyy")</f>
        <v>31 March 2024</v>
      </c>
    </row>
    <row r="24" spans="1:5" ht="14.15" customHeight="1" x14ac:dyDescent="0.25">
      <c r="C24" s="80" t="s">
        <v>542</v>
      </c>
      <c r="D24" s="80"/>
      <c r="E24" s="80" t="s">
        <v>542</v>
      </c>
    </row>
    <row r="25" spans="1:5" ht="26.5" customHeight="1" x14ac:dyDescent="0.35">
      <c r="B25" s="14" t="str">
        <f>"Total future payments committed in respect of the PFI, LIFT or other service concession arrangements"</f>
        <v>Total future payments committed in respect of the PFI, LIFT or other service concession arrangements</v>
      </c>
      <c r="C25" s="43">
        <f>SUM(C27:C29)</f>
        <v>0</v>
      </c>
      <c r="D25"/>
      <c r="E25" s="43">
        <f>SUM(E27:E29)</f>
        <v>0</v>
      </c>
    </row>
    <row r="26" spans="1:5" ht="19.75" customHeight="1" x14ac:dyDescent="0.25">
      <c r="B26" s="14" t="s">
        <v>1157</v>
      </c>
      <c r="C26" s="41"/>
      <c r="D26" s="41"/>
      <c r="E26" s="41"/>
    </row>
    <row r="27" spans="1:5" ht="14.15" customHeight="1" x14ac:dyDescent="0.25">
      <c r="B27" s="105" t="s">
        <v>880</v>
      </c>
      <c r="C27" s="41">
        <v>0</v>
      </c>
      <c r="D27" s="41"/>
      <c r="E27" s="41">
        <v>0</v>
      </c>
    </row>
    <row r="28" spans="1:5" ht="14.15" customHeight="1" x14ac:dyDescent="0.25">
      <c r="B28" s="105" t="s">
        <v>881</v>
      </c>
      <c r="C28" s="41">
        <v>0</v>
      </c>
      <c r="D28" s="41"/>
      <c r="E28" s="41">
        <v>0</v>
      </c>
    </row>
    <row r="29" spans="1:5" ht="14.15" customHeight="1" x14ac:dyDescent="0.25">
      <c r="B29" s="105" t="s">
        <v>882</v>
      </c>
      <c r="C29" s="41">
        <v>0</v>
      </c>
      <c r="D29" s="41"/>
      <c r="E29" s="41">
        <v>0</v>
      </c>
    </row>
    <row r="30" spans="1:5" ht="14.15" customHeight="1" x14ac:dyDescent="0.25">
      <c r="B30" s="14"/>
      <c r="C30" s="26"/>
      <c r="D30" s="26"/>
      <c r="E30" s="26"/>
    </row>
    <row r="31" spans="1:5" ht="13.75" customHeight="1" x14ac:dyDescent="0.25">
      <c r="A31" s="31">
        <f>A21+0.1</f>
        <v>31.300000000000004</v>
      </c>
      <c r="B31" s="93" t="str">
        <f>"Note "&amp; A31&amp; " Analysis of amounts payable to service concession operator"</f>
        <v>Note 31.3 Analysis of amounts payable to service concession operator</v>
      </c>
      <c r="C31" s="26"/>
      <c r="D31" s="26"/>
      <c r="E31" s="26"/>
    </row>
    <row r="32" spans="1:5" ht="14.15" customHeight="1" x14ac:dyDescent="0.25">
      <c r="B32" s="100" t="str">
        <f>"This note provides an analysis of the unitary payments made to the service concession operator:"</f>
        <v>This note provides an analysis of the unitary payments made to the service concession operator:</v>
      </c>
      <c r="C32" s="14"/>
      <c r="D32" s="14"/>
      <c r="E32" s="14"/>
    </row>
    <row r="33" spans="2:6" ht="14.15" customHeight="1" x14ac:dyDescent="0.25">
      <c r="C33" s="14"/>
      <c r="D33" s="14"/>
      <c r="E33" s="14"/>
    </row>
    <row r="34" spans="2:6" ht="13.75" customHeight="1" x14ac:dyDescent="0.25">
      <c r="B34" s="14"/>
      <c r="C34" s="80" t="str">
        <f>CurrentFY</f>
        <v>2024/25</v>
      </c>
      <c r="D34" s="80"/>
      <c r="E34" s="80" t="str">
        <f>ComparativeFY</f>
        <v>2023/24</v>
      </c>
    </row>
    <row r="35" spans="2:6" ht="14.15" customHeight="1" x14ac:dyDescent="0.25">
      <c r="B35" s="14"/>
      <c r="C35" s="80" t="s">
        <v>542</v>
      </c>
      <c r="D35" s="80"/>
      <c r="E35" s="80" t="s">
        <v>542</v>
      </c>
    </row>
    <row r="36" spans="2:6" ht="13.75" customHeight="1" x14ac:dyDescent="0.35">
      <c r="B36" s="14" t="s">
        <v>1158</v>
      </c>
      <c r="C36" s="43">
        <f>SUM(C38:C44)</f>
        <v>0</v>
      </c>
      <c r="D36"/>
      <c r="E36" s="43">
        <f>SUM(E38:E44)</f>
        <v>0</v>
      </c>
    </row>
    <row r="37" spans="2:6" ht="18.399999999999999" customHeight="1" x14ac:dyDescent="0.25">
      <c r="B37" s="14" t="s">
        <v>1159</v>
      </c>
      <c r="C37" s="115"/>
      <c r="D37" s="115"/>
      <c r="E37" s="115"/>
    </row>
    <row r="38" spans="2:6" ht="14.15" customHeight="1" x14ac:dyDescent="0.25">
      <c r="B38" s="116" t="s">
        <v>1160</v>
      </c>
      <c r="C38" s="41">
        <v>0</v>
      </c>
      <c r="D38" s="41"/>
      <c r="E38" s="41">
        <v>0</v>
      </c>
    </row>
    <row r="39" spans="2:6" ht="14.15" customHeight="1" x14ac:dyDescent="0.25">
      <c r="B39" s="116" t="s">
        <v>1161</v>
      </c>
      <c r="C39" s="41">
        <v>0</v>
      </c>
      <c r="D39" s="41"/>
      <c r="E39" s="41">
        <v>0</v>
      </c>
    </row>
    <row r="40" spans="2:6" ht="13.75" customHeight="1" x14ac:dyDescent="0.25">
      <c r="B40" s="116" t="s">
        <v>1162</v>
      </c>
      <c r="C40" s="41">
        <v>0</v>
      </c>
      <c r="D40" s="41"/>
      <c r="E40" s="41">
        <v>0</v>
      </c>
    </row>
    <row r="41" spans="2:6" ht="14.15" customHeight="1" x14ac:dyDescent="0.25">
      <c r="B41" s="116" t="s">
        <v>1163</v>
      </c>
      <c r="C41" s="41">
        <v>0</v>
      </c>
      <c r="D41" s="41"/>
      <c r="E41" s="41">
        <v>0</v>
      </c>
    </row>
    <row r="42" spans="2:6" ht="14.15" customHeight="1" x14ac:dyDescent="0.25">
      <c r="B42" s="116" t="s">
        <v>1164</v>
      </c>
      <c r="C42" s="41">
        <v>0</v>
      </c>
      <c r="D42" s="41"/>
      <c r="E42" s="41">
        <v>0</v>
      </c>
    </row>
    <row r="43" spans="2:6" ht="14.15" customHeight="1" x14ac:dyDescent="0.25">
      <c r="B43" s="116" t="s">
        <v>1165</v>
      </c>
      <c r="C43" s="41">
        <v>0</v>
      </c>
      <c r="D43" s="41"/>
      <c r="E43" s="41">
        <v>0</v>
      </c>
      <c r="F43" s="100"/>
    </row>
    <row r="44" spans="2:6" ht="14.15" customHeight="1" x14ac:dyDescent="0.25">
      <c r="B44" s="116" t="s">
        <v>1166</v>
      </c>
      <c r="C44" s="41">
        <v>0</v>
      </c>
      <c r="D44" s="41"/>
      <c r="E44" s="41">
        <v>0</v>
      </c>
    </row>
    <row r="45" spans="2:6" ht="14.15" customHeight="1" x14ac:dyDescent="0.25">
      <c r="B45" s="105"/>
      <c r="C45" s="41"/>
      <c r="D45" s="41"/>
      <c r="E45" s="41"/>
    </row>
    <row r="46" spans="2:6" ht="23" x14ac:dyDescent="0.25">
      <c r="B46" s="111" t="s">
        <v>1167</v>
      </c>
      <c r="C46" s="41">
        <v>0</v>
      </c>
      <c r="D46" s="41"/>
      <c r="E46" s="41">
        <v>0</v>
      </c>
    </row>
    <row r="47" spans="2:6" ht="13.75" customHeight="1" thickBot="1" x14ac:dyDescent="0.4">
      <c r="B47" s="121" t="s">
        <v>1168</v>
      </c>
      <c r="C47" s="42">
        <f>C36+C46</f>
        <v>0</v>
      </c>
      <c r="D47"/>
      <c r="E47" s="42">
        <f>E36+E46</f>
        <v>0</v>
      </c>
    </row>
    <row r="48" spans="2:6" ht="14.15" customHeight="1" thickTop="1" x14ac:dyDescent="0.25">
      <c r="B48" s="14"/>
      <c r="C48" s="115"/>
      <c r="D48" s="115"/>
      <c r="E48" s="115"/>
    </row>
    <row r="49" spans="1:7" ht="14.15" customHeight="1" x14ac:dyDescent="0.25">
      <c r="A49" s="31">
        <f>ROUNDDOWN(A31,0)+1</f>
        <v>32</v>
      </c>
      <c r="B49" s="93" t="str">
        <f>"Note "&amp; A49&amp;" Off-SoFP PFI, LIFT and other service concession arrangements"</f>
        <v>Note 32 Off-SoFP PFI, LIFT and other service concession arrangements</v>
      </c>
      <c r="C49" s="93"/>
      <c r="D49" s="93"/>
    </row>
    <row r="50" spans="1:7" ht="14.15" customHeight="1" x14ac:dyDescent="0.25">
      <c r="B50" s="432" t="str">
        <f>SelectedFT &amp; " incurred the following charges in respect of off-Statement of Financial Position PFI and LIFT arrangements: "</f>
        <v xml:space="preserve">North West Ambulance Service NHS Trust incurred the following charges in respect of off-Statement of Financial Position PFI and LIFT arrangements: </v>
      </c>
      <c r="C50" s="432"/>
      <c r="D50" s="432"/>
      <c r="E50" s="432"/>
    </row>
    <row r="51" spans="1:7" ht="14.15" customHeight="1" x14ac:dyDescent="0.25">
      <c r="B51" s="432"/>
      <c r="C51" s="432"/>
      <c r="D51" s="432"/>
      <c r="E51" s="432"/>
    </row>
    <row r="52" spans="1:7" ht="14.15" customHeight="1" x14ac:dyDescent="0.25">
      <c r="B52" s="480" t="s">
        <v>1545</v>
      </c>
      <c r="C52" s="480"/>
      <c r="D52" s="480"/>
      <c r="E52" s="480"/>
      <c r="F52" s="45"/>
      <c r="G52" s="45"/>
    </row>
    <row r="54" spans="1:7" ht="25.5" customHeight="1" x14ac:dyDescent="0.25">
      <c r="B54" s="28"/>
      <c r="C54" s="80" t="str">
        <f>TEXT(CurrentYearEnd, "d mmmm yyyy")</f>
        <v>31 March 2025</v>
      </c>
      <c r="D54" s="80"/>
      <c r="E54" s="80" t="str">
        <f>TEXT(ComparativeYearEnd, "d mmmm yyyy")</f>
        <v>31 March 2024</v>
      </c>
    </row>
    <row r="55" spans="1:7" ht="14.15" customHeight="1" x14ac:dyDescent="0.25">
      <c r="C55" s="80" t="s">
        <v>542</v>
      </c>
      <c r="D55" s="80"/>
      <c r="E55" s="80" t="s">
        <v>542</v>
      </c>
    </row>
    <row r="56" spans="1:7" ht="23" x14ac:dyDescent="0.25">
      <c r="B56" s="14" t="str">
        <f>"Charge in respect of the off SoFP PFI, LIFT or other service concession arrangement for the period"</f>
        <v>Charge in respect of the off SoFP PFI, LIFT or other service concession arrangement for the period</v>
      </c>
      <c r="C56" s="50">
        <v>0</v>
      </c>
      <c r="D56" s="41"/>
      <c r="E56" s="50">
        <v>0</v>
      </c>
    </row>
    <row r="57" spans="1:7" ht="14.15" customHeight="1" x14ac:dyDescent="0.25">
      <c r="C57" s="41"/>
      <c r="D57" s="41"/>
      <c r="E57" s="41"/>
    </row>
    <row r="58" spans="1:7" ht="23" x14ac:dyDescent="0.25">
      <c r="B58" s="14" t="s">
        <v>1546</v>
      </c>
      <c r="C58" s="41"/>
      <c r="D58" s="41"/>
      <c r="E58" s="41"/>
    </row>
    <row r="59" spans="1:7" ht="14.15" customHeight="1" x14ac:dyDescent="0.25">
      <c r="B59" s="105" t="s">
        <v>880</v>
      </c>
      <c r="C59" s="41">
        <v>0</v>
      </c>
      <c r="D59" s="41"/>
      <c r="E59" s="41">
        <v>0</v>
      </c>
    </row>
    <row r="60" spans="1:7" ht="14.15" customHeight="1" x14ac:dyDescent="0.25">
      <c r="B60" s="105" t="s">
        <v>881</v>
      </c>
      <c r="C60" s="41">
        <v>0</v>
      </c>
      <c r="D60" s="41"/>
      <c r="E60" s="41">
        <v>0</v>
      </c>
    </row>
    <row r="61" spans="1:7" ht="14.15" customHeight="1" x14ac:dyDescent="0.25">
      <c r="B61" s="105" t="s">
        <v>882</v>
      </c>
      <c r="C61" s="41">
        <v>0</v>
      </c>
      <c r="D61" s="41"/>
      <c r="E61" s="41">
        <v>0</v>
      </c>
    </row>
    <row r="62" spans="1:7" ht="14.15" customHeight="1" thickBot="1" x14ac:dyDescent="0.4">
      <c r="B62" s="93" t="s">
        <v>541</v>
      </c>
      <c r="C62" s="42">
        <f>SUM(C59:C61)</f>
        <v>0</v>
      </c>
      <c r="D62"/>
      <c r="E62" s="42">
        <f>SUM(E59:E61)</f>
        <v>0</v>
      </c>
    </row>
    <row r="63" spans="1:7" ht="14.15" customHeight="1" thickTop="1" x14ac:dyDescent="0.25"/>
  </sheetData>
  <customSheetViews>
    <customSheetView guid="{EDC1BD6E-863A-4FC6-A3A9-F32079F4F0C1}">
      <selection activeCell="N58" sqref="N58"/>
      <pageMargins left="0" right="0" top="0" bottom="0" header="0" footer="0"/>
      <pageSetup paperSize="9" orientation="landscape" verticalDpi="0" r:id="rId1"/>
    </customSheetView>
  </customSheetViews>
  <mergeCells count="4">
    <mergeCell ref="B3:E3"/>
    <mergeCell ref="B6:E7"/>
    <mergeCell ref="B50:E51"/>
    <mergeCell ref="B52:E52"/>
  </mergeCells>
  <pageMargins left="0.7" right="0.7" top="0.75" bottom="0.75" header="0.3" footer="0.3"/>
  <pageSetup paperSize="9" orientation="portrait" r:id="rId2"/>
  <rowBreaks count="1" manualBreakCount="1">
    <brk id="48" max="16383"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2">
    <tabColor rgb="FFFF0000"/>
  </sheetPr>
  <dimension ref="A1:I66"/>
  <sheetViews>
    <sheetView workbookViewId="0"/>
  </sheetViews>
  <sheetFormatPr defaultColWidth="9.1796875" defaultRowHeight="14.15" customHeight="1" x14ac:dyDescent="0.25"/>
  <cols>
    <col min="1" max="1" width="1" style="31" customWidth="1"/>
    <col min="2" max="2" width="62.453125" style="1" customWidth="1"/>
    <col min="3" max="3" width="10.7265625" style="1" customWidth="1"/>
    <col min="4" max="4" width="0.7265625" style="1" customWidth="1"/>
    <col min="5" max="5" width="10.7265625" style="1" customWidth="1"/>
    <col min="6" max="16384" width="9.1796875" style="1"/>
  </cols>
  <sheetData>
    <row r="1" spans="1:9" ht="14.15" customHeight="1" x14ac:dyDescent="0.25">
      <c r="A1" s="31">
        <f>ROUNDDOWN('Inv Prop'!A18,0)+1</f>
        <v>17</v>
      </c>
      <c r="B1" s="93" t="str">
        <f>"Note "&amp; A1&amp; " Investments in associates and joint ventures"</f>
        <v>Note 17 Investments in associates and joint ventures</v>
      </c>
      <c r="C1" s="14"/>
      <c r="D1" s="14"/>
      <c r="E1" s="14"/>
      <c r="I1" s="100"/>
    </row>
    <row r="2" spans="1:9" ht="13.75" customHeight="1" x14ac:dyDescent="0.25">
      <c r="B2" s="14"/>
      <c r="C2" s="80" t="str">
        <f>CurrentFY</f>
        <v>2024/25</v>
      </c>
      <c r="D2" s="80"/>
      <c r="E2" s="80" t="str">
        <f>ComparativeFY</f>
        <v>2023/24</v>
      </c>
    </row>
    <row r="3" spans="1:9" ht="14.15" customHeight="1" x14ac:dyDescent="0.25">
      <c r="B3" s="14"/>
      <c r="C3" s="80" t="s">
        <v>542</v>
      </c>
      <c r="D3" s="80"/>
      <c r="E3" s="80" t="s">
        <v>542</v>
      </c>
    </row>
    <row r="4" spans="1:9" ht="14.15" customHeight="1" x14ac:dyDescent="0.25">
      <c r="B4" s="14" t="str">
        <f>"Carrying value at 1 April - brought forward"</f>
        <v>Carrying value at 1 April - brought forward</v>
      </c>
      <c r="C4" s="50">
        <f>E17</f>
        <v>0</v>
      </c>
      <c r="D4" s="80"/>
      <c r="E4" s="50">
        <v>0</v>
      </c>
    </row>
    <row r="5" spans="1:9" ht="14.15" customHeight="1" x14ac:dyDescent="0.25">
      <c r="B5" s="105" t="s">
        <v>500</v>
      </c>
      <c r="C5" s="41"/>
      <c r="D5" s="80"/>
      <c r="E5" s="41">
        <v>0</v>
      </c>
    </row>
    <row r="6" spans="1:9" ht="14.15" customHeight="1" x14ac:dyDescent="0.25">
      <c r="B6" s="14" t="str">
        <f>"Carrying value at 1 April - restated"</f>
        <v>Carrying value at 1 April - restated</v>
      </c>
      <c r="C6" s="43">
        <f>SUM(C4:C5)</f>
        <v>0</v>
      </c>
      <c r="E6" s="43">
        <f>SUM(E4:E5)</f>
        <v>0</v>
      </c>
    </row>
    <row r="7" spans="1:9" ht="14.15" hidden="1" customHeight="1" x14ac:dyDescent="0.25">
      <c r="B7" s="14" t="s">
        <v>944</v>
      </c>
      <c r="C7" s="50">
        <v>0</v>
      </c>
      <c r="D7" s="13"/>
      <c r="E7" s="50">
        <v>0</v>
      </c>
      <c r="F7" s="166" t="s">
        <v>544</v>
      </c>
    </row>
    <row r="8" spans="1:9" ht="14.15" customHeight="1" x14ac:dyDescent="0.25">
      <c r="B8" s="105" t="s">
        <v>919</v>
      </c>
      <c r="C8" s="179">
        <v>0</v>
      </c>
      <c r="E8" s="41">
        <v>0</v>
      </c>
    </row>
    <row r="9" spans="1:9" ht="14.15" customHeight="1" x14ac:dyDescent="0.25">
      <c r="B9" s="105" t="s">
        <v>945</v>
      </c>
      <c r="C9" s="179">
        <v>0</v>
      </c>
      <c r="E9" s="41">
        <v>0</v>
      </c>
    </row>
    <row r="10" spans="1:9" ht="14.15" customHeight="1" x14ac:dyDescent="0.25">
      <c r="B10" s="105" t="s">
        <v>953</v>
      </c>
      <c r="C10" s="179">
        <v>0</v>
      </c>
      <c r="E10" s="41">
        <v>0</v>
      </c>
    </row>
    <row r="11" spans="1:9" ht="14.15" customHeight="1" x14ac:dyDescent="0.25">
      <c r="B11" s="105" t="s">
        <v>565</v>
      </c>
      <c r="C11" s="179">
        <v>0</v>
      </c>
      <c r="E11" s="41">
        <v>0</v>
      </c>
    </row>
    <row r="12" spans="1:9" ht="13.75" customHeight="1" x14ac:dyDescent="0.25">
      <c r="B12" s="105" t="s">
        <v>924</v>
      </c>
      <c r="C12" s="179">
        <v>0</v>
      </c>
      <c r="E12" s="41">
        <v>0</v>
      </c>
    </row>
    <row r="13" spans="1:9" ht="13.75" customHeight="1" x14ac:dyDescent="0.25">
      <c r="B13" s="105" t="s">
        <v>954</v>
      </c>
      <c r="C13" s="179">
        <v>0</v>
      </c>
      <c r="E13" s="41">
        <v>0</v>
      </c>
    </row>
    <row r="14" spans="1:9" ht="14.15" customHeight="1" x14ac:dyDescent="0.25">
      <c r="B14" s="105" t="s">
        <v>948</v>
      </c>
      <c r="C14" s="179">
        <v>0</v>
      </c>
      <c r="E14" s="41">
        <v>0</v>
      </c>
    </row>
    <row r="15" spans="1:9" ht="13.75" customHeight="1" x14ac:dyDescent="0.25">
      <c r="B15" s="105" t="s">
        <v>955</v>
      </c>
      <c r="C15" s="179">
        <v>0</v>
      </c>
      <c r="E15" s="41">
        <v>0</v>
      </c>
    </row>
    <row r="16" spans="1:9" ht="13.75" customHeight="1" x14ac:dyDescent="0.25">
      <c r="B16" s="105" t="s">
        <v>956</v>
      </c>
      <c r="C16" s="179">
        <v>0</v>
      </c>
      <c r="E16" s="41">
        <v>0</v>
      </c>
    </row>
    <row r="17" spans="1:6" ht="14.15" customHeight="1" thickBot="1" x14ac:dyDescent="0.3">
      <c r="B17" s="93" t="str">
        <f>"Carrying value at 31 March"</f>
        <v>Carrying value at 31 March</v>
      </c>
      <c r="C17" s="42">
        <f>SUM(C6:C16)</f>
        <v>0</v>
      </c>
      <c r="D17" s="13"/>
      <c r="E17" s="42">
        <f>SUM(E6:E16)</f>
        <v>0</v>
      </c>
    </row>
    <row r="18" spans="1:6" ht="14.15" customHeight="1" thickTop="1" x14ac:dyDescent="0.25">
      <c r="B18" s="14"/>
    </row>
    <row r="19" spans="1:6" s="14" customFormat="1" ht="11.5" x14ac:dyDescent="0.25">
      <c r="A19" s="33"/>
      <c r="C19" s="115"/>
    </row>
    <row r="20" spans="1:6" ht="14.15" customHeight="1" x14ac:dyDescent="0.25">
      <c r="A20" s="31">
        <f>ROUNDDOWN('Inv in assoc &amp; JVs, other inv'!A1,0)+1</f>
        <v>18</v>
      </c>
      <c r="B20" s="93" t="str">
        <f>"Note "&amp; A20&amp; " Other investments / financial assets (non-current)"</f>
        <v>Note 18 Other investments / financial assets (non-current)</v>
      </c>
      <c r="C20" s="14"/>
      <c r="D20" s="14"/>
      <c r="E20" s="14"/>
    </row>
    <row r="21" spans="1:6" ht="13.75" customHeight="1" x14ac:dyDescent="0.25">
      <c r="B21" s="14"/>
      <c r="C21" s="80" t="str">
        <f>CurrentFY</f>
        <v>2024/25</v>
      </c>
      <c r="D21" s="80"/>
      <c r="E21" s="80" t="str">
        <f>ComparativeFY</f>
        <v>2023/24</v>
      </c>
    </row>
    <row r="22" spans="1:6" ht="14.15" customHeight="1" x14ac:dyDescent="0.25">
      <c r="B22" s="14"/>
      <c r="C22" s="80" t="s">
        <v>542</v>
      </c>
      <c r="D22" s="80"/>
      <c r="E22" s="80" t="s">
        <v>542</v>
      </c>
    </row>
    <row r="23" spans="1:6" ht="14.15" customHeight="1" x14ac:dyDescent="0.25">
      <c r="B23" s="14" t="str">
        <f>"Carrying value at 1 April - brought forward"</f>
        <v>Carrying value at 1 April - brought forward</v>
      </c>
      <c r="C23" s="50">
        <f>E36</f>
        <v>0</v>
      </c>
      <c r="D23" s="80"/>
      <c r="E23" s="50">
        <v>0</v>
      </c>
    </row>
    <row r="24" spans="1:6" ht="14.15" customHeight="1" x14ac:dyDescent="0.25">
      <c r="B24" s="105" t="s">
        <v>500</v>
      </c>
      <c r="C24" s="41"/>
      <c r="D24" s="80"/>
      <c r="E24" s="179">
        <v>0</v>
      </c>
    </row>
    <row r="25" spans="1:6" ht="14.15" customHeight="1" x14ac:dyDescent="0.25">
      <c r="B25" s="14" t="str">
        <f>"Carrying value at 1 April - restated"</f>
        <v>Carrying value at 1 April - restated</v>
      </c>
      <c r="C25" s="43">
        <f>SUM(C23:C24)</f>
        <v>0</v>
      </c>
      <c r="D25" s="13"/>
      <c r="E25" s="43">
        <f>SUM(E23:E24)</f>
        <v>0</v>
      </c>
    </row>
    <row r="26" spans="1:6" ht="14.15" hidden="1" customHeight="1" x14ac:dyDescent="0.25">
      <c r="B26" s="14" t="s">
        <v>944</v>
      </c>
      <c r="C26" s="179">
        <v>0</v>
      </c>
      <c r="D26" s="13"/>
      <c r="E26" s="179">
        <v>0</v>
      </c>
      <c r="F26" s="166" t="s">
        <v>544</v>
      </c>
    </row>
    <row r="27" spans="1:6" ht="14.15" customHeight="1" x14ac:dyDescent="0.25">
      <c r="B27" s="105" t="s">
        <v>919</v>
      </c>
      <c r="C27" s="179">
        <v>0</v>
      </c>
      <c r="D27" s="13"/>
      <c r="E27" s="179">
        <v>0</v>
      </c>
    </row>
    <row r="28" spans="1:6" ht="14.15" customHeight="1" x14ac:dyDescent="0.25">
      <c r="B28" s="105" t="s">
        <v>945</v>
      </c>
      <c r="C28" s="179">
        <v>0</v>
      </c>
      <c r="D28" s="13"/>
      <c r="E28" s="179">
        <v>0</v>
      </c>
    </row>
    <row r="29" spans="1:6" ht="14.15" customHeight="1" x14ac:dyDescent="0.25">
      <c r="B29" s="105" t="s">
        <v>957</v>
      </c>
      <c r="C29" s="41">
        <v>0</v>
      </c>
      <c r="E29" s="179">
        <v>0</v>
      </c>
    </row>
    <row r="30" spans="1:6" ht="14.15" customHeight="1" x14ac:dyDescent="0.25">
      <c r="B30" s="105" t="s">
        <v>958</v>
      </c>
      <c r="C30" s="41">
        <v>0</v>
      </c>
      <c r="E30" s="179">
        <v>0</v>
      </c>
    </row>
    <row r="31" spans="1:6" ht="14.15" customHeight="1" x14ac:dyDescent="0.25">
      <c r="B31" s="105" t="s">
        <v>565</v>
      </c>
      <c r="C31" s="41">
        <v>0</v>
      </c>
      <c r="E31" s="41">
        <v>0</v>
      </c>
    </row>
    <row r="32" spans="1:6" ht="14.15" customHeight="1" x14ac:dyDescent="0.25">
      <c r="B32" s="105" t="s">
        <v>924</v>
      </c>
      <c r="C32" s="41">
        <v>0</v>
      </c>
      <c r="E32" s="41">
        <v>0</v>
      </c>
    </row>
    <row r="33" spans="1:5" ht="14.15" customHeight="1" x14ac:dyDescent="0.25">
      <c r="B33" s="105" t="s">
        <v>959</v>
      </c>
      <c r="C33" s="41">
        <v>0</v>
      </c>
      <c r="E33" s="41">
        <v>0</v>
      </c>
    </row>
    <row r="34" spans="1:5" ht="14.15" customHeight="1" x14ac:dyDescent="0.25">
      <c r="B34" s="105" t="s">
        <v>960</v>
      </c>
      <c r="C34" s="41">
        <v>0</v>
      </c>
      <c r="E34" s="41">
        <v>0</v>
      </c>
    </row>
    <row r="35" spans="1:5" ht="14.15" customHeight="1" x14ac:dyDescent="0.25">
      <c r="B35" s="105" t="s">
        <v>948</v>
      </c>
      <c r="C35" s="41">
        <v>0</v>
      </c>
      <c r="E35" s="41">
        <v>0</v>
      </c>
    </row>
    <row r="36" spans="1:5" ht="14.15" customHeight="1" thickBot="1" x14ac:dyDescent="0.3">
      <c r="B36" s="93" t="str">
        <f>"Carrying value at 31 March"</f>
        <v>Carrying value at 31 March</v>
      </c>
      <c r="C36" s="42">
        <f>SUM(C25:C35)</f>
        <v>0</v>
      </c>
      <c r="D36" s="13"/>
      <c r="E36" s="42">
        <f>SUM(E25:E35)</f>
        <v>0</v>
      </c>
    </row>
    <row r="37" spans="1:5" ht="14.15" customHeight="1" thickTop="1" x14ac:dyDescent="0.25"/>
    <row r="38" spans="1:5" ht="11.5" x14ac:dyDescent="0.25"/>
    <row r="39" spans="1:5" ht="14.15" customHeight="1" x14ac:dyDescent="0.25">
      <c r="A39" s="31">
        <f>A20+0.1</f>
        <v>18.100000000000001</v>
      </c>
      <c r="B39" s="87" t="str">
        <f>"Note "&amp; A39&amp; " Other investments / financial assets (current)"</f>
        <v>Note 18.1 Other investments / financial assets (current)</v>
      </c>
      <c r="C39" s="14"/>
      <c r="D39" s="14"/>
      <c r="E39" s="14"/>
    </row>
    <row r="40" spans="1:5" ht="25" customHeight="1" x14ac:dyDescent="0.25">
      <c r="C40" s="80" t="str">
        <f>TEXT(CurrentYearEnd, "d mmmm yyyy")</f>
        <v>31 March 2025</v>
      </c>
      <c r="D40" s="80"/>
      <c r="E40" s="80" t="str">
        <f>TEXT(ComparativeYearEnd, "d mmmm yyyy")</f>
        <v>31 March 2024</v>
      </c>
    </row>
    <row r="41" spans="1:5" ht="14.15" customHeight="1" x14ac:dyDescent="0.25">
      <c r="C41" s="80" t="s">
        <v>542</v>
      </c>
      <c r="D41" s="80"/>
      <c r="E41" s="80" t="s">
        <v>542</v>
      </c>
    </row>
    <row r="42" spans="1:5" ht="13.5" customHeight="1" x14ac:dyDescent="0.25">
      <c r="B42" s="112" t="s">
        <v>961</v>
      </c>
      <c r="C42" s="41">
        <v>0</v>
      </c>
      <c r="D42" s="41"/>
      <c r="E42" s="41">
        <v>0</v>
      </c>
    </row>
    <row r="43" spans="1:5" ht="13.75" customHeight="1" x14ac:dyDescent="0.25">
      <c r="B43" s="105" t="s">
        <v>962</v>
      </c>
      <c r="C43" s="41">
        <v>0</v>
      </c>
      <c r="D43" s="41"/>
      <c r="E43" s="41">
        <v>0</v>
      </c>
    </row>
    <row r="44" spans="1:5" ht="14.15" customHeight="1" x14ac:dyDescent="0.25">
      <c r="B44" s="105" t="s">
        <v>963</v>
      </c>
      <c r="C44" s="41">
        <v>0</v>
      </c>
      <c r="D44" s="41"/>
      <c r="E44" s="41">
        <v>0</v>
      </c>
    </row>
    <row r="45" spans="1:5" ht="13.75" customHeight="1" thickBot="1" x14ac:dyDescent="0.3">
      <c r="B45" s="14" t="s">
        <v>964</v>
      </c>
      <c r="C45" s="42">
        <f>SUM(C42:C44)</f>
        <v>0</v>
      </c>
      <c r="E45" s="42">
        <f>SUM(E42:E44)</f>
        <v>0</v>
      </c>
    </row>
    <row r="46" spans="1:5" ht="14.15" customHeight="1" thickTop="1" x14ac:dyDescent="0.25"/>
    <row r="47" spans="1:5" ht="26.15" customHeight="1" x14ac:dyDescent="0.25">
      <c r="B47" s="480" t="s">
        <v>965</v>
      </c>
      <c r="C47" s="480"/>
      <c r="D47" s="480"/>
      <c r="E47" s="480"/>
    </row>
    <row r="48" spans="1:5" ht="14.15" customHeight="1" x14ac:dyDescent="0.25">
      <c r="A48" s="1"/>
    </row>
    <row r="49" spans="1:1" ht="14.15" customHeight="1" x14ac:dyDescent="0.25">
      <c r="A49" s="1"/>
    </row>
    <row r="50" spans="1:1" ht="14.15" customHeight="1" x14ac:dyDescent="0.25">
      <c r="A50" s="1"/>
    </row>
    <row r="51" spans="1:1" ht="14.15" customHeight="1" x14ac:dyDescent="0.25">
      <c r="A51" s="1"/>
    </row>
    <row r="52" spans="1:1" ht="14.15" customHeight="1" x14ac:dyDescent="0.25">
      <c r="A52" s="1"/>
    </row>
    <row r="53" spans="1:1" ht="14.15" customHeight="1" x14ac:dyDescent="0.25">
      <c r="A53" s="1"/>
    </row>
    <row r="54" spans="1:1" ht="14.15" customHeight="1" x14ac:dyDescent="0.25">
      <c r="A54" s="1"/>
    </row>
    <row r="55" spans="1:1" ht="14.15" customHeight="1" x14ac:dyDescent="0.25">
      <c r="A55" s="1"/>
    </row>
    <row r="56" spans="1:1" ht="14.15" customHeight="1" x14ac:dyDescent="0.25">
      <c r="A56" s="1"/>
    </row>
    <row r="57" spans="1:1" ht="14.15" customHeight="1" x14ac:dyDescent="0.25">
      <c r="A57" s="1"/>
    </row>
    <row r="58" spans="1:1" ht="14.15" customHeight="1" x14ac:dyDescent="0.25">
      <c r="A58" s="1"/>
    </row>
    <row r="59" spans="1:1" ht="14.15" customHeight="1" x14ac:dyDescent="0.25">
      <c r="A59" s="1"/>
    </row>
    <row r="60" spans="1:1" ht="14.15" customHeight="1" x14ac:dyDescent="0.25">
      <c r="A60" s="1"/>
    </row>
    <row r="61" spans="1:1" ht="14.15" customHeight="1" x14ac:dyDescent="0.25">
      <c r="A61" s="1"/>
    </row>
    <row r="62" spans="1:1" ht="14.15" customHeight="1" x14ac:dyDescent="0.25">
      <c r="A62" s="1"/>
    </row>
    <row r="63" spans="1:1" ht="14.15" customHeight="1" x14ac:dyDescent="0.25">
      <c r="A63" s="1"/>
    </row>
    <row r="64" spans="1:1" ht="14.15" customHeight="1" x14ac:dyDescent="0.25">
      <c r="A64" s="1"/>
    </row>
    <row r="65" spans="1:1" ht="14.15" customHeight="1" x14ac:dyDescent="0.25">
      <c r="A65" s="1"/>
    </row>
    <row r="66" spans="1:1" ht="14.15" customHeight="1" x14ac:dyDescent="0.25">
      <c r="A66" s="1"/>
    </row>
  </sheetData>
  <mergeCells count="1">
    <mergeCell ref="B47:E47"/>
  </mergeCells>
  <pageMargins left="0.7" right="0.7" top="0.75" bottom="0.75" header="0.3" footer="0.3"/>
  <pageSetup paperSize="9"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tabColor rgb="FFFF0000"/>
  </sheetPr>
  <dimension ref="A1:H24"/>
  <sheetViews>
    <sheetView workbookViewId="0"/>
  </sheetViews>
  <sheetFormatPr defaultColWidth="9.1796875" defaultRowHeight="14.15" customHeight="1" x14ac:dyDescent="0.25"/>
  <cols>
    <col min="1" max="1" width="1.1796875" style="31" customWidth="1"/>
    <col min="2" max="2" width="41" style="1" customWidth="1"/>
    <col min="3" max="4" width="10.7265625" style="1" customWidth="1"/>
    <col min="5" max="5" width="1" style="1" customWidth="1"/>
    <col min="6" max="7" width="10.7265625" style="1" customWidth="1"/>
    <col min="8" max="16384" width="9.1796875" style="1"/>
  </cols>
  <sheetData>
    <row r="1" spans="1:8" ht="14.15" customHeight="1" x14ac:dyDescent="0.25">
      <c r="A1" s="31">
        <f>Receivables!A1+0.1</f>
        <v>18.200000000000003</v>
      </c>
      <c r="B1" s="93" t="str">
        <f>"Note "&amp;A1&amp; " Allowances for credit losses"</f>
        <v>Note 18.2 Allowances for credit losses</v>
      </c>
      <c r="C1" s="14"/>
      <c r="D1" s="14"/>
    </row>
    <row r="2" spans="1:8" ht="14.15" customHeight="1" x14ac:dyDescent="0.25">
      <c r="B2" s="93"/>
      <c r="C2" s="455" t="str">
        <f>CurrentFY</f>
        <v>2024/25</v>
      </c>
      <c r="D2" s="455"/>
      <c r="F2" s="455" t="str">
        <f>ComparativeFY</f>
        <v>2023/24</v>
      </c>
      <c r="G2" s="455"/>
    </row>
    <row r="3" spans="1:8" ht="50.5" customHeight="1" x14ac:dyDescent="0.25">
      <c r="B3" s="14"/>
      <c r="C3" s="80" t="s">
        <v>998</v>
      </c>
      <c r="D3" s="80" t="s">
        <v>999</v>
      </c>
      <c r="F3" s="80" t="s">
        <v>998</v>
      </c>
      <c r="G3" s="80" t="s">
        <v>999</v>
      </c>
    </row>
    <row r="4" spans="1:8" ht="14.15" customHeight="1" x14ac:dyDescent="0.25">
      <c r="C4" s="80" t="s">
        <v>542</v>
      </c>
      <c r="D4" s="80" t="s">
        <v>542</v>
      </c>
      <c r="F4" s="80" t="s">
        <v>542</v>
      </c>
      <c r="G4" s="80" t="s">
        <v>542</v>
      </c>
    </row>
    <row r="5" spans="1:8" ht="13.75" customHeight="1" x14ac:dyDescent="0.25">
      <c r="B5" s="14" t="str">
        <f>"Allowances as at 1 April - brought forward"</f>
        <v>Allowances as at 1 April - brought forward</v>
      </c>
      <c r="C5" s="50">
        <f>F16</f>
        <v>804</v>
      </c>
      <c r="D5" s="50">
        <f>G16</f>
        <v>0</v>
      </c>
      <c r="F5" s="50">
        <v>765</v>
      </c>
      <c r="G5" s="50">
        <v>0</v>
      </c>
    </row>
    <row r="6" spans="1:8" ht="14.15" customHeight="1" x14ac:dyDescent="0.25">
      <c r="B6" s="105" t="s">
        <v>500</v>
      </c>
      <c r="C6" s="41"/>
      <c r="D6" s="41"/>
      <c r="F6" s="41">
        <v>0</v>
      </c>
      <c r="G6" s="41">
        <v>0</v>
      </c>
    </row>
    <row r="7" spans="1:8" ht="14.15" customHeight="1" x14ac:dyDescent="0.25">
      <c r="B7" s="14" t="str">
        <f>"Allowances as at 1 April - restated"</f>
        <v>Allowances as at 1 April - restated</v>
      </c>
      <c r="C7" s="43">
        <f>SUM(C5:C6)</f>
        <v>804</v>
      </c>
      <c r="D7" s="43">
        <f>SUM(D5:D6)</f>
        <v>0</v>
      </c>
      <c r="F7" s="43">
        <f>SUM(F5:F6)</f>
        <v>765</v>
      </c>
      <c r="G7" s="43">
        <f>SUM(G5:G6)</f>
        <v>0</v>
      </c>
    </row>
    <row r="8" spans="1:8" ht="14.15" hidden="1" customHeight="1" x14ac:dyDescent="0.25">
      <c r="B8" s="25" t="s">
        <v>1000</v>
      </c>
      <c r="C8" s="50">
        <v>0</v>
      </c>
      <c r="D8" s="50">
        <v>0</v>
      </c>
      <c r="F8" s="50">
        <v>0</v>
      </c>
      <c r="G8" s="50">
        <v>0</v>
      </c>
      <c r="H8" s="166" t="s">
        <v>544</v>
      </c>
    </row>
    <row r="9" spans="1:8" ht="14.15" customHeight="1" x14ac:dyDescent="0.25">
      <c r="B9" s="105" t="s">
        <v>927</v>
      </c>
      <c r="C9" s="41">
        <v>0</v>
      </c>
      <c r="D9" s="41">
        <v>0</v>
      </c>
      <c r="F9" s="41">
        <v>0</v>
      </c>
      <c r="G9" s="41">
        <v>0</v>
      </c>
    </row>
    <row r="10" spans="1:8" ht="14.15" customHeight="1" x14ac:dyDescent="0.25">
      <c r="B10" s="105" t="s">
        <v>1001</v>
      </c>
      <c r="C10" s="41">
        <v>2155</v>
      </c>
      <c r="D10" s="41">
        <v>0</v>
      </c>
      <c r="F10" s="41">
        <v>818</v>
      </c>
      <c r="G10" s="41">
        <v>0</v>
      </c>
    </row>
    <row r="11" spans="1:8" ht="14.15" customHeight="1" x14ac:dyDescent="0.25">
      <c r="B11" s="105" t="s">
        <v>1002</v>
      </c>
      <c r="C11" s="41">
        <v>0</v>
      </c>
      <c r="D11" s="41">
        <v>0</v>
      </c>
      <c r="F11" s="41">
        <v>0</v>
      </c>
      <c r="G11" s="41">
        <v>0</v>
      </c>
    </row>
    <row r="12" spans="1:8" ht="14.15" customHeight="1" x14ac:dyDescent="0.25">
      <c r="B12" s="105" t="s">
        <v>1003</v>
      </c>
      <c r="C12" s="41">
        <v>-819</v>
      </c>
      <c r="D12" s="41">
        <v>0</v>
      </c>
      <c r="F12" s="41">
        <v>-765</v>
      </c>
      <c r="G12" s="41">
        <v>0</v>
      </c>
    </row>
    <row r="13" spans="1:8" ht="14.15" customHeight="1" x14ac:dyDescent="0.25">
      <c r="B13" s="105" t="s">
        <v>1004</v>
      </c>
      <c r="C13" s="41">
        <v>0</v>
      </c>
      <c r="D13" s="41">
        <v>0</v>
      </c>
      <c r="F13" s="41">
        <v>-14</v>
      </c>
      <c r="G13" s="41">
        <v>0</v>
      </c>
    </row>
    <row r="14" spans="1:8" ht="24" customHeight="1" x14ac:dyDescent="0.25">
      <c r="B14" s="105" t="s">
        <v>1005</v>
      </c>
      <c r="C14" s="41">
        <v>0</v>
      </c>
      <c r="D14" s="41">
        <v>0</v>
      </c>
      <c r="F14" s="41">
        <v>0</v>
      </c>
      <c r="G14" s="41">
        <v>0</v>
      </c>
    </row>
    <row r="15" spans="1:8" ht="14.15" customHeight="1" x14ac:dyDescent="0.25">
      <c r="B15" s="105" t="s">
        <v>1006</v>
      </c>
      <c r="C15" s="41">
        <v>0</v>
      </c>
      <c r="D15" s="41">
        <v>0</v>
      </c>
      <c r="F15" s="41">
        <v>0</v>
      </c>
      <c r="G15" s="41">
        <v>0</v>
      </c>
    </row>
    <row r="16" spans="1:8" ht="14.15" customHeight="1" thickBot="1" x14ac:dyDescent="0.3">
      <c r="B16" s="14" t="str">
        <f>"Allowances as at "&amp;TEXT(CurrentYearEnd,"d mmm yyyy")</f>
        <v>Allowances as at 31 Mar 2025</v>
      </c>
      <c r="C16" s="42">
        <f>SUM(C7:C15)</f>
        <v>2140</v>
      </c>
      <c r="D16" s="42">
        <f>SUM(D7:D15)</f>
        <v>0</v>
      </c>
      <c r="F16" s="42">
        <f>SUM(F7:F15)</f>
        <v>804</v>
      </c>
      <c r="G16" s="42">
        <f>SUM(G7:G15)</f>
        <v>0</v>
      </c>
    </row>
    <row r="17" spans="1:7" ht="14.15" customHeight="1" thickTop="1" x14ac:dyDescent="0.25"/>
    <row r="18" spans="1:7" ht="22.75" customHeight="1" x14ac:dyDescent="0.25">
      <c r="B18" s="495" t="s">
        <v>1007</v>
      </c>
      <c r="C18" s="495"/>
      <c r="D18" s="495"/>
      <c r="E18" s="495"/>
      <c r="F18" s="495"/>
      <c r="G18" s="495"/>
    </row>
    <row r="19" spans="1:7" ht="23.5" customHeight="1" x14ac:dyDescent="0.25">
      <c r="B19" s="495" t="s">
        <v>1008</v>
      </c>
      <c r="C19" s="495"/>
      <c r="D19" s="495"/>
      <c r="E19" s="495"/>
      <c r="F19" s="495"/>
      <c r="G19" s="495"/>
    </row>
    <row r="20" spans="1:7" ht="24.4" customHeight="1" x14ac:dyDescent="0.25">
      <c r="B20" s="495" t="s">
        <v>1009</v>
      </c>
      <c r="C20" s="495"/>
      <c r="D20" s="495"/>
      <c r="E20" s="495"/>
      <c r="F20" s="495"/>
      <c r="G20" s="495"/>
    </row>
    <row r="21" spans="1:7" ht="14.15" customHeight="1" x14ac:dyDescent="0.25">
      <c r="B21" s="495" t="s">
        <v>1010</v>
      </c>
      <c r="C21" s="495"/>
      <c r="D21" s="495"/>
      <c r="E21" s="495"/>
      <c r="F21" s="495"/>
      <c r="G21" s="495"/>
    </row>
    <row r="23" spans="1:7" ht="14.15" customHeight="1" x14ac:dyDescent="0.25">
      <c r="A23" s="31">
        <f>'Receivables 2'!A1+0.1</f>
        <v>18.300000000000004</v>
      </c>
      <c r="B23" s="14" t="str">
        <f>"Note "&amp;A23&amp; " Exposure to credit risk"</f>
        <v>Note 18.3 Exposure to credit risk</v>
      </c>
    </row>
    <row r="24" spans="1:7" ht="33" customHeight="1" x14ac:dyDescent="0.25">
      <c r="B24" s="480" t="s">
        <v>1011</v>
      </c>
      <c r="C24" s="480"/>
      <c r="D24" s="480"/>
      <c r="E24" s="480"/>
      <c r="F24" s="480"/>
      <c r="G24" s="480"/>
    </row>
  </sheetData>
  <customSheetViews>
    <customSheetView guid="{EDC1BD6E-863A-4FC6-A3A9-F32079F4F0C1}">
      <selection activeCell="N51" sqref="N51"/>
      <pageMargins left="0" right="0" top="0" bottom="0" header="0" footer="0"/>
      <pageSetup paperSize="9" orientation="portrait" verticalDpi="0" r:id="rId1"/>
    </customSheetView>
  </customSheetViews>
  <mergeCells count="7">
    <mergeCell ref="F2:G2"/>
    <mergeCell ref="B24:G24"/>
    <mergeCell ref="C2:D2"/>
    <mergeCell ref="B18:G18"/>
    <mergeCell ref="B19:G19"/>
    <mergeCell ref="B20:G20"/>
    <mergeCell ref="B21:G21"/>
  </mergeCells>
  <pageMargins left="0.7" right="0.7" top="0.75" bottom="0.75" header="0.3" footer="0.3"/>
  <pageSetup paperSize="9" orientation="portrait"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1">
    <tabColor rgb="FFFF0000"/>
  </sheetPr>
  <dimension ref="A1:G68"/>
  <sheetViews>
    <sheetView workbookViewId="0"/>
  </sheetViews>
  <sheetFormatPr defaultColWidth="9.1796875" defaultRowHeight="14.15" customHeight="1" x14ac:dyDescent="0.25"/>
  <cols>
    <col min="1" max="1" width="1" style="31" customWidth="1"/>
    <col min="2" max="2" width="62.453125" style="1" customWidth="1"/>
    <col min="3" max="3" width="10.7265625" style="1" customWidth="1"/>
    <col min="4" max="4" width="0.7265625" style="1" customWidth="1"/>
    <col min="5" max="5" width="10.7265625" style="1" customWidth="1"/>
    <col min="6" max="16384" width="9.1796875" style="1"/>
  </cols>
  <sheetData>
    <row r="1" spans="1:7" ht="13.75" customHeight="1" x14ac:dyDescent="0.25">
      <c r="A1" s="31">
        <f>ROUNDDOWN('17-20 Ints&amp;InvCr'!A5,0)+1.1</f>
        <v>18.100000000000001</v>
      </c>
      <c r="B1" s="93" t="str">
        <f>"Note "&amp;A1&amp; " Receivables"</f>
        <v>Note 18.1 Receivables</v>
      </c>
      <c r="C1" s="455"/>
      <c r="D1" s="455"/>
      <c r="E1" s="455"/>
      <c r="F1" s="14"/>
      <c r="G1" s="14"/>
    </row>
    <row r="2" spans="1:7" ht="25.15" customHeight="1" x14ac:dyDescent="0.35">
      <c r="C2" s="80" t="str">
        <f>TEXT(CurrentYearEnd, "d mmmm yyyy")</f>
        <v>31 March 2025</v>
      </c>
      <c r="D2" s="80"/>
      <c r="E2" s="80" t="str">
        <f>TEXT(ComparativeYearEnd, "d mmmm yyyy")</f>
        <v>31 March 2024</v>
      </c>
      <c r="F2"/>
      <c r="G2"/>
    </row>
    <row r="3" spans="1:7" ht="14.15" customHeight="1" x14ac:dyDescent="0.35">
      <c r="C3" s="80" t="s">
        <v>542</v>
      </c>
      <c r="D3" s="80"/>
      <c r="E3" s="80" t="s">
        <v>542</v>
      </c>
      <c r="F3"/>
      <c r="G3"/>
    </row>
    <row r="4" spans="1:7" ht="14.15" customHeight="1" x14ac:dyDescent="0.35">
      <c r="B4" s="14" t="s">
        <v>977</v>
      </c>
      <c r="C4" s="21"/>
      <c r="D4" s="21"/>
      <c r="E4" s="21"/>
      <c r="F4"/>
      <c r="G4"/>
    </row>
    <row r="5" spans="1:7" ht="14.15" customHeight="1" x14ac:dyDescent="0.35">
      <c r="B5" s="105" t="s">
        <v>978</v>
      </c>
      <c r="C5" s="41">
        <v>3338</v>
      </c>
      <c r="D5" s="41"/>
      <c r="E5" s="41">
        <v>2529</v>
      </c>
      <c r="F5"/>
      <c r="G5"/>
    </row>
    <row r="6" spans="1:7" s="245" customFormat="1" ht="14.15" customHeight="1" x14ac:dyDescent="0.35">
      <c r="A6" s="243"/>
      <c r="B6" s="216" t="s">
        <v>979</v>
      </c>
      <c r="C6" s="218">
        <v>0</v>
      </c>
      <c r="D6" s="218"/>
      <c r="E6" s="218">
        <v>0</v>
      </c>
      <c r="F6" s="237"/>
      <c r="G6" s="237"/>
    </row>
    <row r="7" spans="1:7" s="245" customFormat="1" ht="13.75" customHeight="1" x14ac:dyDescent="0.35">
      <c r="A7" s="243"/>
      <c r="B7" s="216" t="s">
        <v>980</v>
      </c>
      <c r="C7" s="218">
        <v>0</v>
      </c>
      <c r="D7" s="218"/>
      <c r="E7" s="218">
        <v>0</v>
      </c>
      <c r="F7" s="237"/>
      <c r="G7" s="237"/>
    </row>
    <row r="8" spans="1:7" ht="14.15" customHeight="1" x14ac:dyDescent="0.35">
      <c r="B8" s="105" t="s">
        <v>981</v>
      </c>
      <c r="C8" s="41">
        <v>-2140</v>
      </c>
      <c r="D8" s="41"/>
      <c r="E8" s="41">
        <v>-804</v>
      </c>
      <c r="F8"/>
      <c r="G8"/>
    </row>
    <row r="9" spans="1:7" s="245" customFormat="1" ht="14.15" customHeight="1" x14ac:dyDescent="0.35">
      <c r="A9" s="243"/>
      <c r="B9" s="216" t="s">
        <v>982</v>
      </c>
      <c r="C9" s="218">
        <v>0</v>
      </c>
      <c r="D9" s="218"/>
      <c r="E9" s="218">
        <v>0</v>
      </c>
      <c r="F9" s="237"/>
      <c r="G9" s="237"/>
    </row>
    <row r="10" spans="1:7" s="245" customFormat="1" ht="14.15" customHeight="1" x14ac:dyDescent="0.35">
      <c r="A10" s="243"/>
      <c r="B10" s="216" t="s">
        <v>983</v>
      </c>
      <c r="C10" s="218">
        <v>0</v>
      </c>
      <c r="D10" s="218"/>
      <c r="E10" s="218">
        <v>0</v>
      </c>
      <c r="F10" s="237"/>
      <c r="G10" s="237"/>
    </row>
    <row r="11" spans="1:7" ht="14.15" customHeight="1" x14ac:dyDescent="0.35">
      <c r="B11" s="105" t="s">
        <v>984</v>
      </c>
      <c r="C11" s="41">
        <v>3890</v>
      </c>
      <c r="D11" s="41"/>
      <c r="E11" s="41">
        <v>2561</v>
      </c>
      <c r="F11"/>
      <c r="G11"/>
    </row>
    <row r="12" spans="1:7" s="245" customFormat="1" ht="14.15" customHeight="1" x14ac:dyDescent="0.35">
      <c r="A12" s="243"/>
      <c r="B12" s="216" t="s">
        <v>985</v>
      </c>
      <c r="C12" s="218">
        <v>0</v>
      </c>
      <c r="D12" s="218"/>
      <c r="E12" s="218">
        <v>0</v>
      </c>
      <c r="F12" s="237"/>
      <c r="G12" s="237"/>
    </row>
    <row r="13" spans="1:7" s="245" customFormat="1" ht="14.15" customHeight="1" x14ac:dyDescent="0.35">
      <c r="A13" s="243"/>
      <c r="B13" s="216" t="s">
        <v>986</v>
      </c>
      <c r="C13" s="218">
        <v>0</v>
      </c>
      <c r="D13" s="218"/>
      <c r="E13" s="218">
        <v>0</v>
      </c>
      <c r="F13" s="237"/>
      <c r="G13" s="237"/>
    </row>
    <row r="14" spans="1:7" s="245" customFormat="1" ht="14.15" customHeight="1" x14ac:dyDescent="0.35">
      <c r="A14" s="243"/>
      <c r="B14" s="216" t="s">
        <v>987</v>
      </c>
      <c r="C14" s="218">
        <v>0</v>
      </c>
      <c r="D14" s="218"/>
      <c r="E14" s="218">
        <v>0</v>
      </c>
      <c r="F14" s="237"/>
      <c r="G14" s="237"/>
    </row>
    <row r="15" spans="1:7" s="245" customFormat="1" ht="14.15" customHeight="1" x14ac:dyDescent="0.35">
      <c r="A15" s="243"/>
      <c r="B15" s="216" t="s">
        <v>988</v>
      </c>
      <c r="C15" s="218">
        <v>0</v>
      </c>
      <c r="D15" s="218"/>
      <c r="E15" s="218">
        <v>0</v>
      </c>
      <c r="F15" s="237"/>
      <c r="G15" s="237"/>
    </row>
    <row r="16" spans="1:7" s="245" customFormat="1" ht="14.15" customHeight="1" x14ac:dyDescent="0.35">
      <c r="A16" s="243"/>
      <c r="B16" s="216" t="s">
        <v>1371</v>
      </c>
      <c r="C16" s="218">
        <v>0</v>
      </c>
      <c r="D16" s="218"/>
      <c r="E16" s="218">
        <v>0</v>
      </c>
      <c r="F16" s="237"/>
      <c r="G16" s="237"/>
    </row>
    <row r="17" spans="1:7" ht="14.15" customHeight="1" x14ac:dyDescent="0.35">
      <c r="B17" s="105" t="s">
        <v>989</v>
      </c>
      <c r="C17" s="41">
        <v>169</v>
      </c>
      <c r="D17" s="41"/>
      <c r="E17" s="41">
        <v>347</v>
      </c>
      <c r="F17"/>
      <c r="G17"/>
    </row>
    <row r="18" spans="1:7" ht="14.15" customHeight="1" x14ac:dyDescent="0.35">
      <c r="B18" s="105" t="s">
        <v>990</v>
      </c>
      <c r="C18" s="41">
        <v>918</v>
      </c>
      <c r="D18" s="41"/>
      <c r="E18" s="41">
        <v>1196</v>
      </c>
      <c r="F18"/>
      <c r="G18"/>
    </row>
    <row r="19" spans="1:7" s="245" customFormat="1" ht="14.15" customHeight="1" x14ac:dyDescent="0.35">
      <c r="A19" s="243"/>
      <c r="B19" s="216" t="s">
        <v>991</v>
      </c>
      <c r="C19" s="218">
        <v>0</v>
      </c>
      <c r="D19" s="218"/>
      <c r="E19" s="218">
        <v>0</v>
      </c>
      <c r="F19" s="237"/>
      <c r="G19" s="237"/>
    </row>
    <row r="20" spans="1:7" ht="14.15" customHeight="1" x14ac:dyDescent="0.35">
      <c r="B20" s="105" t="s">
        <v>992</v>
      </c>
      <c r="C20" s="41">
        <v>356</v>
      </c>
      <c r="D20" s="41"/>
      <c r="E20" s="41">
        <v>312</v>
      </c>
      <c r="F20"/>
      <c r="G20"/>
    </row>
    <row r="21" spans="1:7" ht="14.15" customHeight="1" thickBot="1" x14ac:dyDescent="0.4">
      <c r="B21" s="93" t="s">
        <v>993</v>
      </c>
      <c r="C21" s="42">
        <f>SUM(C5:C20)</f>
        <v>6531</v>
      </c>
      <c r="D21" s="41"/>
      <c r="E21" s="42">
        <f>SUM(E5:E20)</f>
        <v>6141</v>
      </c>
      <c r="F21"/>
      <c r="G21"/>
    </row>
    <row r="22" spans="1:7" ht="10.15" customHeight="1" thickTop="1" x14ac:dyDescent="0.35">
      <c r="C22" s="23"/>
      <c r="D22" s="23"/>
      <c r="E22" s="23"/>
      <c r="F22"/>
      <c r="G22"/>
    </row>
    <row r="23" spans="1:7" ht="14.15" customHeight="1" x14ac:dyDescent="0.35">
      <c r="B23" s="14" t="s">
        <v>994</v>
      </c>
      <c r="C23" s="21"/>
      <c r="D23" s="21"/>
      <c r="E23" s="21"/>
      <c r="F23"/>
      <c r="G23"/>
    </row>
    <row r="24" spans="1:7" ht="14.15" customHeight="1" x14ac:dyDescent="0.35">
      <c r="B24" s="105" t="s">
        <v>978</v>
      </c>
      <c r="C24" s="41">
        <v>1055</v>
      </c>
      <c r="D24" s="41"/>
      <c r="E24" s="41">
        <v>1025</v>
      </c>
      <c r="F24"/>
      <c r="G24"/>
    </row>
    <row r="25" spans="1:7" s="245" customFormat="1" ht="14.15" customHeight="1" x14ac:dyDescent="0.35">
      <c r="A25" s="243"/>
      <c r="B25" s="216" t="s">
        <v>979</v>
      </c>
      <c r="C25" s="218">
        <v>0</v>
      </c>
      <c r="D25" s="218"/>
      <c r="E25" s="218">
        <v>0</v>
      </c>
      <c r="F25" s="237"/>
      <c r="G25" s="237"/>
    </row>
    <row r="26" spans="1:7" s="245" customFormat="1" ht="13.75" customHeight="1" x14ac:dyDescent="0.35">
      <c r="A26" s="243"/>
      <c r="B26" s="216" t="s">
        <v>980</v>
      </c>
      <c r="C26" s="218">
        <v>0</v>
      </c>
      <c r="D26" s="218"/>
      <c r="E26" s="218">
        <v>0</v>
      </c>
      <c r="F26" s="237"/>
      <c r="G26" s="237"/>
    </row>
    <row r="27" spans="1:7" s="245" customFormat="1" ht="14.15" customHeight="1" x14ac:dyDescent="0.35">
      <c r="A27" s="243"/>
      <c r="B27" s="216" t="s">
        <v>981</v>
      </c>
      <c r="C27" s="218">
        <v>0</v>
      </c>
      <c r="D27" s="218"/>
      <c r="E27" s="218">
        <v>0</v>
      </c>
      <c r="F27" s="237"/>
      <c r="G27" s="237"/>
    </row>
    <row r="28" spans="1:7" s="245" customFormat="1" ht="14.15" customHeight="1" x14ac:dyDescent="0.35">
      <c r="A28" s="243"/>
      <c r="B28" s="216" t="s">
        <v>982</v>
      </c>
      <c r="C28" s="218">
        <v>0</v>
      </c>
      <c r="D28" s="218"/>
      <c r="E28" s="218">
        <v>0</v>
      </c>
      <c r="F28" s="237"/>
      <c r="G28" s="237"/>
    </row>
    <row r="29" spans="1:7" s="245" customFormat="1" ht="14.15" customHeight="1" x14ac:dyDescent="0.35">
      <c r="A29" s="243"/>
      <c r="B29" s="216" t="s">
        <v>983</v>
      </c>
      <c r="C29" s="218">
        <v>0</v>
      </c>
      <c r="D29" s="218"/>
      <c r="E29" s="218">
        <v>0</v>
      </c>
      <c r="F29" s="237"/>
      <c r="G29" s="237"/>
    </row>
    <row r="30" spans="1:7" s="245" customFormat="1" ht="14.15" customHeight="1" x14ac:dyDescent="0.35">
      <c r="A30" s="243"/>
      <c r="B30" s="216" t="s">
        <v>984</v>
      </c>
      <c r="C30" s="218">
        <v>0</v>
      </c>
      <c r="D30" s="218"/>
      <c r="E30" s="218">
        <v>0</v>
      </c>
      <c r="F30" s="237"/>
      <c r="G30" s="237"/>
    </row>
    <row r="31" spans="1:7" s="245" customFormat="1" ht="14.15" customHeight="1" x14ac:dyDescent="0.35">
      <c r="A31" s="243"/>
      <c r="B31" s="216" t="s">
        <v>985</v>
      </c>
      <c r="C31" s="218">
        <v>0</v>
      </c>
      <c r="D31" s="218"/>
      <c r="E31" s="218">
        <v>0</v>
      </c>
      <c r="F31" s="237"/>
      <c r="G31" s="237"/>
    </row>
    <row r="32" spans="1:7" s="245" customFormat="1" ht="14.15" customHeight="1" x14ac:dyDescent="0.35">
      <c r="A32" s="243"/>
      <c r="B32" s="216" t="s">
        <v>986</v>
      </c>
      <c r="C32" s="218">
        <v>0</v>
      </c>
      <c r="D32" s="218"/>
      <c r="E32" s="218">
        <v>0</v>
      </c>
      <c r="F32" s="237"/>
      <c r="G32" s="237"/>
    </row>
    <row r="33" spans="1:7" s="245" customFormat="1" ht="14.15" customHeight="1" x14ac:dyDescent="0.35">
      <c r="A33" s="243"/>
      <c r="B33" s="216" t="s">
        <v>987</v>
      </c>
      <c r="C33" s="218">
        <v>0</v>
      </c>
      <c r="D33" s="218"/>
      <c r="E33" s="218">
        <v>0</v>
      </c>
      <c r="F33" s="237"/>
      <c r="G33" s="237"/>
    </row>
    <row r="34" spans="1:7" s="245" customFormat="1" ht="14.15" customHeight="1" x14ac:dyDescent="0.35">
      <c r="A34" s="243"/>
      <c r="B34" s="216" t="s">
        <v>988</v>
      </c>
      <c r="C34" s="218">
        <v>0</v>
      </c>
      <c r="D34" s="218"/>
      <c r="E34" s="218">
        <v>0</v>
      </c>
      <c r="F34" s="237"/>
      <c r="G34" s="237"/>
    </row>
    <row r="35" spans="1:7" s="245" customFormat="1" ht="14.15" customHeight="1" x14ac:dyDescent="0.35">
      <c r="A35" s="243"/>
      <c r="B35" s="216" t="s">
        <v>1371</v>
      </c>
      <c r="C35" s="218">
        <v>0</v>
      </c>
      <c r="D35" s="218"/>
      <c r="E35" s="218">
        <v>0</v>
      </c>
      <c r="F35" s="237"/>
      <c r="G35" s="237"/>
    </row>
    <row r="36" spans="1:7" s="245" customFormat="1" ht="14.15" customHeight="1" x14ac:dyDescent="0.35">
      <c r="A36" s="243"/>
      <c r="B36" s="216" t="s">
        <v>990</v>
      </c>
      <c r="C36" s="218">
        <v>0</v>
      </c>
      <c r="D36" s="218"/>
      <c r="E36" s="218">
        <v>0</v>
      </c>
      <c r="F36" s="237"/>
      <c r="G36" s="237"/>
    </row>
    <row r="37" spans="1:7" s="245" customFormat="1" ht="14.15" customHeight="1" x14ac:dyDescent="0.35">
      <c r="A37" s="243"/>
      <c r="B37" s="216" t="s">
        <v>991</v>
      </c>
      <c r="C37" s="218">
        <v>0</v>
      </c>
      <c r="D37" s="218"/>
      <c r="E37" s="218">
        <v>0</v>
      </c>
      <c r="F37" s="237"/>
      <c r="G37" s="237"/>
    </row>
    <row r="38" spans="1:7" s="245" customFormat="1" ht="14.15" customHeight="1" x14ac:dyDescent="0.35">
      <c r="A38" s="243"/>
      <c r="B38" s="216" t="s">
        <v>992</v>
      </c>
      <c r="C38" s="218">
        <v>0</v>
      </c>
      <c r="D38" s="218"/>
      <c r="E38" s="218">
        <v>0</v>
      </c>
      <c r="F38" s="237"/>
      <c r="G38" s="237"/>
    </row>
    <row r="39" spans="1:7" ht="13.75" customHeight="1" thickBot="1" x14ac:dyDescent="0.4">
      <c r="B39" s="14" t="s">
        <v>995</v>
      </c>
      <c r="C39" s="42">
        <f>SUM(C24:C38)</f>
        <v>1055</v>
      </c>
      <c r="D39" s="41"/>
      <c r="E39" s="42">
        <f>SUM(E24:E38)</f>
        <v>1025</v>
      </c>
      <c r="F39"/>
      <c r="G39"/>
    </row>
    <row r="40" spans="1:7" customFormat="1" ht="13.75" customHeight="1" thickTop="1" x14ac:dyDescent="0.35"/>
    <row r="41" spans="1:7" ht="13.75" customHeight="1" x14ac:dyDescent="0.25">
      <c r="B41" s="142" t="s">
        <v>996</v>
      </c>
    </row>
    <row r="42" spans="1:7" ht="14.15" customHeight="1" x14ac:dyDescent="0.25">
      <c r="B42" s="105" t="s">
        <v>977</v>
      </c>
      <c r="C42" s="41">
        <v>339</v>
      </c>
      <c r="D42" s="41"/>
      <c r="E42" s="41">
        <v>1060</v>
      </c>
      <c r="F42" s="41"/>
      <c r="G42" s="41"/>
    </row>
    <row r="43" spans="1:7" ht="14.15" customHeight="1" x14ac:dyDescent="0.25">
      <c r="B43" s="105" t="s">
        <v>994</v>
      </c>
      <c r="C43" s="41">
        <v>0</v>
      </c>
      <c r="D43" s="41"/>
      <c r="E43" s="41">
        <v>0</v>
      </c>
      <c r="F43" s="41"/>
      <c r="G43" s="41"/>
    </row>
    <row r="44" spans="1:7" ht="8.9" customHeight="1" x14ac:dyDescent="0.25"/>
    <row r="45" spans="1:7" ht="14.15" customHeight="1" x14ac:dyDescent="0.25">
      <c r="B45" s="480" t="s">
        <v>997</v>
      </c>
      <c r="C45" s="480"/>
      <c r="D45" s="480"/>
      <c r="E45" s="480"/>
      <c r="F45" s="45"/>
      <c r="G45" s="45"/>
    </row>
    <row r="46" spans="1:7" ht="14.15" customHeight="1" x14ac:dyDescent="0.25">
      <c r="B46" s="480"/>
      <c r="C46" s="480"/>
      <c r="D46" s="480"/>
      <c r="E46" s="480"/>
    </row>
    <row r="47" spans="1:7" ht="14.15" customHeight="1" x14ac:dyDescent="0.25">
      <c r="B47" s="480"/>
      <c r="C47" s="480"/>
      <c r="D47" s="480"/>
      <c r="E47" s="480"/>
    </row>
    <row r="48" spans="1:7" ht="14.15" customHeight="1" x14ac:dyDescent="0.25">
      <c r="B48" s="480"/>
      <c r="C48" s="480"/>
      <c r="D48" s="480"/>
      <c r="E48" s="480"/>
    </row>
    <row r="50" spans="1:1" ht="14.15" customHeight="1" x14ac:dyDescent="0.25">
      <c r="A50" s="1"/>
    </row>
    <row r="51" spans="1:1" ht="14.15" customHeight="1" x14ac:dyDescent="0.25">
      <c r="A51" s="1"/>
    </row>
    <row r="52" spans="1:1" ht="14.15" customHeight="1" x14ac:dyDescent="0.25">
      <c r="A52" s="1"/>
    </row>
    <row r="53" spans="1:1" ht="14.15" customHeight="1" x14ac:dyDescent="0.25">
      <c r="A53" s="1"/>
    </row>
    <row r="54" spans="1:1" ht="14.15" customHeight="1" x14ac:dyDescent="0.25">
      <c r="A54" s="1"/>
    </row>
    <row r="55" spans="1:1" ht="14.15" customHeight="1" x14ac:dyDescent="0.25">
      <c r="A55" s="1"/>
    </row>
    <row r="56" spans="1:1" ht="14.15" customHeight="1" x14ac:dyDescent="0.25">
      <c r="A56" s="1"/>
    </row>
    <row r="57" spans="1:1" ht="14.15" customHeight="1" x14ac:dyDescent="0.25">
      <c r="A57" s="1"/>
    </row>
    <row r="58" spans="1:1" ht="14.15" customHeight="1" x14ac:dyDescent="0.25">
      <c r="A58" s="1"/>
    </row>
    <row r="59" spans="1:1" ht="14.15" customHeight="1" x14ac:dyDescent="0.25">
      <c r="A59" s="1"/>
    </row>
    <row r="60" spans="1:1" ht="14.15" customHeight="1" x14ac:dyDescent="0.25">
      <c r="A60" s="1"/>
    </row>
    <row r="61" spans="1:1" ht="14.15" customHeight="1" x14ac:dyDescent="0.25">
      <c r="A61" s="1"/>
    </row>
    <row r="62" spans="1:1" ht="14.15" customHeight="1" x14ac:dyDescent="0.25">
      <c r="A62" s="1"/>
    </row>
    <row r="63" spans="1:1" ht="14.15" customHeight="1" x14ac:dyDescent="0.25">
      <c r="A63" s="1"/>
    </row>
    <row r="64" spans="1:1" ht="14.15" customHeight="1" x14ac:dyDescent="0.25">
      <c r="A64" s="1"/>
    </row>
    <row r="65" spans="1:1" ht="14.15" customHeight="1" x14ac:dyDescent="0.25">
      <c r="A65" s="1"/>
    </row>
    <row r="66" spans="1:1" ht="14.15" customHeight="1" x14ac:dyDescent="0.25">
      <c r="A66" s="1"/>
    </row>
    <row r="67" spans="1:1" ht="14.15" customHeight="1" x14ac:dyDescent="0.25">
      <c r="A67" s="1"/>
    </row>
    <row r="68" spans="1:1" ht="14.15" customHeight="1" x14ac:dyDescent="0.25">
      <c r="A68" s="1"/>
    </row>
  </sheetData>
  <customSheetViews>
    <customSheetView guid="{EDC1BD6E-863A-4FC6-A3A9-F32079F4F0C1}">
      <selection activeCell="L23" sqref="L23"/>
      <pageMargins left="0" right="0" top="0" bottom="0" header="0" footer="0"/>
      <pageSetup paperSize="9" orientation="portrait" verticalDpi="0" r:id="rId1"/>
    </customSheetView>
  </customSheetViews>
  <mergeCells count="2">
    <mergeCell ref="C1:E1"/>
    <mergeCell ref="B45:E48"/>
  </mergeCells>
  <pageMargins left="0.7" right="0.7" top="0.75" bottom="0.75" header="0.3" footer="0.3"/>
  <pageSetup paperSize="9" orientation="portrait"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47">
    <tabColor rgb="FFFF0000"/>
  </sheetPr>
  <dimension ref="A1:E38"/>
  <sheetViews>
    <sheetView topLeftCell="A2" workbookViewId="0"/>
  </sheetViews>
  <sheetFormatPr defaultColWidth="9.1796875" defaultRowHeight="11.5" x14ac:dyDescent="0.25"/>
  <cols>
    <col min="1" max="1" width="1.453125" style="31" customWidth="1"/>
    <col min="2" max="2" width="88.54296875" style="1" customWidth="1"/>
    <col min="3" max="3" width="12.1796875" style="1" customWidth="1"/>
    <col min="4" max="4" width="12.81640625" style="1" customWidth="1"/>
    <col min="5" max="16384" width="9.1796875" style="1"/>
  </cols>
  <sheetData>
    <row r="1" spans="1:5" hidden="1" x14ac:dyDescent="0.25"/>
    <row r="2" spans="1:5" x14ac:dyDescent="0.25">
      <c r="A2" s="31">
        <f>'Acc''g policies 7'!A11+1</f>
        <v>11</v>
      </c>
      <c r="B2" s="13" t="str">
        <f>"Note 1." &amp;A2&amp;" Contingencies"</f>
        <v>Note 1.11 Contingencies</v>
      </c>
      <c r="C2" s="13"/>
      <c r="D2" s="13"/>
      <c r="E2" s="13"/>
    </row>
    <row r="3" spans="1:5" ht="42.75" customHeight="1" x14ac:dyDescent="0.25">
      <c r="B3" s="1" t="s">
        <v>1640</v>
      </c>
    </row>
    <row r="4" spans="1:5" ht="28.5" customHeight="1" x14ac:dyDescent="0.25">
      <c r="B4" s="1" t="s">
        <v>1641</v>
      </c>
    </row>
    <row r="5" spans="1:5" ht="89.25" customHeight="1" x14ac:dyDescent="0.25">
      <c r="B5" s="1" t="s">
        <v>1468</v>
      </c>
    </row>
    <row r="6" spans="1:5" ht="10.5" customHeight="1" x14ac:dyDescent="0.25"/>
    <row r="7" spans="1:5" x14ac:dyDescent="0.25">
      <c r="A7" s="31">
        <f>'Acc''g policies 7'!A33+1</f>
        <v>12</v>
      </c>
      <c r="B7" s="13" t="str">
        <f>"Note 1." &amp;A7&amp;" Public dividend capital"</f>
        <v>Note 1.12 Public dividend capital</v>
      </c>
    </row>
    <row r="8" spans="1:5" ht="137.25" customHeight="1" x14ac:dyDescent="0.25">
      <c r="B8" s="136" t="s">
        <v>723</v>
      </c>
      <c r="C8" s="111"/>
    </row>
    <row r="9" spans="1:5" ht="24" customHeight="1" x14ac:dyDescent="0.25">
      <c r="B9" s="136" t="s">
        <v>724</v>
      </c>
      <c r="C9" s="111"/>
    </row>
    <row r="10" spans="1:5" ht="48" customHeight="1" x14ac:dyDescent="0.25">
      <c r="B10" s="136" t="s">
        <v>725</v>
      </c>
      <c r="C10" s="111"/>
    </row>
    <row r="12" spans="1:5" x14ac:dyDescent="0.25">
      <c r="A12" s="31">
        <f>A7+1</f>
        <v>13</v>
      </c>
      <c r="B12" s="13" t="str">
        <f>"Note 1." &amp;A12&amp;" Value added tax "</f>
        <v xml:space="preserve">Note 1.13 Value added tax </v>
      </c>
    </row>
    <row r="13" spans="1:5" ht="46" x14ac:dyDescent="0.25">
      <c r="B13" s="111" t="s">
        <v>726</v>
      </c>
      <c r="C13" s="111"/>
      <c r="D13" s="111"/>
    </row>
    <row r="15" spans="1:5" s="245" customFormat="1" hidden="1" x14ac:dyDescent="0.25">
      <c r="A15" s="243">
        <f>A12+1</f>
        <v>14</v>
      </c>
      <c r="B15" s="257" t="str">
        <f>"Note 1."&amp;A15&amp;" Corporation tax"</f>
        <v>Note 1.14 Corporation tax</v>
      </c>
      <c r="C15" s="251"/>
      <c r="D15" s="251"/>
    </row>
    <row r="16" spans="1:5" s="245" customFormat="1" ht="92" hidden="1" x14ac:dyDescent="0.25">
      <c r="A16" s="243"/>
      <c r="B16" s="260" t="s">
        <v>727</v>
      </c>
      <c r="C16" s="260"/>
      <c r="D16" s="251"/>
    </row>
    <row r="17" spans="1:4" s="245" customFormat="1" ht="6.75" hidden="1" customHeight="1" x14ac:dyDescent="0.25">
      <c r="A17" s="243"/>
      <c r="D17" s="251"/>
    </row>
    <row r="18" spans="1:4" x14ac:dyDescent="0.25">
      <c r="A18" s="31">
        <f>A15+1</f>
        <v>15</v>
      </c>
      <c r="B18" s="13" t="str">
        <f>"Note 1." &amp;A18&amp;" Climate change levy "</f>
        <v xml:space="preserve">Note 1.15 Climate change levy </v>
      </c>
      <c r="D18" s="45"/>
    </row>
    <row r="19" spans="1:4" ht="23" x14ac:dyDescent="0.25">
      <c r="B19" s="1" t="s">
        <v>728</v>
      </c>
      <c r="D19" s="45"/>
    </row>
    <row r="20" spans="1:4" ht="10.5" customHeight="1" x14ac:dyDescent="0.25">
      <c r="D20" s="45"/>
    </row>
    <row r="21" spans="1:4" s="245" customFormat="1" hidden="1" x14ac:dyDescent="0.25">
      <c r="A21" s="243">
        <f>A18+1</f>
        <v>16</v>
      </c>
      <c r="B21" s="257" t="str">
        <f>"Note 1."&amp;A21&amp; " Foreign exchange "</f>
        <v xml:space="preserve">Note 1.16 Foreign exchange </v>
      </c>
      <c r="D21" s="251"/>
    </row>
    <row r="22" spans="1:4" s="245" customFormat="1" ht="203.25" hidden="1" customHeight="1" x14ac:dyDescent="0.25">
      <c r="A22" s="243"/>
      <c r="B22" s="259" t="s">
        <v>729</v>
      </c>
      <c r="C22" s="252"/>
    </row>
    <row r="23" spans="1:4" s="245" customFormat="1" ht="7.5" hidden="1" customHeight="1" x14ac:dyDescent="0.25">
      <c r="A23" s="243"/>
    </row>
    <row r="24" spans="1:4" x14ac:dyDescent="0.25">
      <c r="A24" s="31">
        <f>A21+1</f>
        <v>17</v>
      </c>
      <c r="B24" s="13" t="str">
        <f>"Note 1."&amp;A24&amp; " Third party assets "</f>
        <v xml:space="preserve">Note 1.17 Third party assets </v>
      </c>
    </row>
    <row r="25" spans="1:4" ht="6.75" customHeight="1" x14ac:dyDescent="0.25"/>
    <row r="26" spans="1:4" ht="25.5" customHeight="1" x14ac:dyDescent="0.3">
      <c r="B26" s="111" t="s">
        <v>730</v>
      </c>
      <c r="C26" s="111"/>
    </row>
    <row r="27" spans="1:4" ht="6.75" customHeight="1" x14ac:dyDescent="0.25"/>
    <row r="28" spans="1:4" x14ac:dyDescent="0.25">
      <c r="A28" s="31">
        <f>A24+1</f>
        <v>18</v>
      </c>
      <c r="B28" s="13" t="str">
        <f>"Note 1." &amp;A28&amp;" Losses and special payments"</f>
        <v>Note 1.18 Losses and special payments</v>
      </c>
    </row>
    <row r="29" spans="1:4" ht="92" x14ac:dyDescent="0.25">
      <c r="B29" s="111" t="s">
        <v>731</v>
      </c>
      <c r="C29" s="111"/>
      <c r="D29" s="111"/>
    </row>
    <row r="30" spans="1:4" ht="6.75" customHeight="1" x14ac:dyDescent="0.25"/>
    <row r="31" spans="1:4" s="245" customFormat="1" hidden="1" x14ac:dyDescent="0.25">
      <c r="A31" s="243">
        <f>A28+1</f>
        <v>19</v>
      </c>
      <c r="B31" s="257" t="str">
        <f>"Note 1." &amp;A31&amp;" Gifts"</f>
        <v>Note 1.19 Gifts</v>
      </c>
    </row>
    <row r="32" spans="1:4" s="245" customFormat="1" ht="6.75" hidden="1" customHeight="1" x14ac:dyDescent="0.25">
      <c r="A32" s="243"/>
      <c r="B32" s="250"/>
    </row>
    <row r="33" spans="1:5" s="245" customFormat="1" ht="35.5" hidden="1" customHeight="1" x14ac:dyDescent="0.25">
      <c r="A33" s="243"/>
      <c r="B33" s="259" t="s">
        <v>732</v>
      </c>
      <c r="C33" s="252"/>
      <c r="D33" s="252"/>
    </row>
    <row r="34" spans="1:5" s="245" customFormat="1" ht="7.5" hidden="1" customHeight="1" x14ac:dyDescent="0.25">
      <c r="A34" s="243"/>
    </row>
    <row r="35" spans="1:5" s="245" customFormat="1" hidden="1" x14ac:dyDescent="0.25">
      <c r="A35" s="243">
        <f>A31+1</f>
        <v>20</v>
      </c>
      <c r="B35" s="270" t="str">
        <f>"Note 1."&amp;A35&amp; " Transfers of functions [to / from] [other NHS bodies / local government bodies]"</f>
        <v>Note 1.20 Transfers of functions [to / from] [other NHS bodies / local government bodies]</v>
      </c>
    </row>
    <row r="36" spans="1:5" s="245" customFormat="1" ht="61.5" hidden="1" customHeight="1" x14ac:dyDescent="0.25">
      <c r="A36" s="243"/>
      <c r="B36" s="250" t="s">
        <v>733</v>
      </c>
    </row>
    <row r="37" spans="1:5" s="245" customFormat="1" ht="55.5" hidden="1" customHeight="1" x14ac:dyDescent="0.25">
      <c r="A37" s="243"/>
      <c r="B37" s="246" t="s">
        <v>734</v>
      </c>
    </row>
    <row r="38" spans="1:5" s="245" customFormat="1" ht="74.150000000000006" hidden="1" customHeight="1" x14ac:dyDescent="0.25">
      <c r="A38" s="243"/>
      <c r="B38" s="252" t="s">
        <v>1536</v>
      </c>
      <c r="C38" s="252"/>
      <c r="D38" s="252"/>
      <c r="E38" s="271"/>
    </row>
  </sheetData>
  <pageMargins left="0.7" right="0.7" top="0.75" bottom="0.75" header="0.3" footer="0.3"/>
  <pageSetup paperSize="9"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6">
    <tabColor rgb="FFFF0000"/>
  </sheetPr>
  <dimension ref="A1:T29"/>
  <sheetViews>
    <sheetView workbookViewId="0"/>
  </sheetViews>
  <sheetFormatPr defaultColWidth="9.1796875" defaultRowHeight="14.15" customHeight="1" x14ac:dyDescent="0.35"/>
  <cols>
    <col min="1" max="1" width="1" style="32" customWidth="1"/>
    <col min="2" max="2" width="86.26953125" customWidth="1"/>
    <col min="3" max="4" width="12.1796875" style="1" customWidth="1"/>
    <col min="5" max="5" width="2.81640625" style="1" customWidth="1"/>
    <col min="6" max="6" width="10.7265625" style="1" customWidth="1"/>
    <col min="7" max="20" width="9.1796875" style="1"/>
  </cols>
  <sheetData>
    <row r="1" spans="1:8" ht="14.15" customHeight="1" x14ac:dyDescent="0.35">
      <c r="A1" s="32">
        <f>ROUNDDOWN('14 PPE 2'!A23,0)+1</f>
        <v>15</v>
      </c>
      <c r="B1" s="182" t="str">
        <f>"Note " &amp;A1&amp; " Donations of property, plant and equipment"</f>
        <v>Note 15 Donations of property, plant and equipment</v>
      </c>
    </row>
    <row r="2" spans="1:8" ht="29.25" customHeight="1" x14ac:dyDescent="0.35">
      <c r="B2" s="45" t="s">
        <v>938</v>
      </c>
      <c r="C2" s="45"/>
      <c r="D2" s="45"/>
      <c r="E2" s="45"/>
      <c r="F2" s="45"/>
      <c r="G2"/>
      <c r="H2"/>
    </row>
    <row r="3" spans="1:8" ht="11.9" customHeight="1" x14ac:dyDescent="0.35">
      <c r="B3" s="98"/>
    </row>
    <row r="4" spans="1:8" ht="25.5" customHeight="1" x14ac:dyDescent="0.35">
      <c r="B4" s="45" t="s">
        <v>939</v>
      </c>
      <c r="C4" s="45"/>
      <c r="D4" s="45"/>
      <c r="E4" s="45"/>
      <c r="F4" s="45"/>
    </row>
    <row r="5" spans="1:8" ht="14.5" x14ac:dyDescent="0.35">
      <c r="B5" s="45"/>
    </row>
    <row r="6" spans="1:8" ht="14.15" customHeight="1" x14ac:dyDescent="0.35">
      <c r="A6" s="32">
        <f>ROUNDDOWN(A1,0)+1</f>
        <v>16</v>
      </c>
      <c r="B6" s="93" t="str">
        <f>"Note " &amp;A6&amp; " Revaluations of property, plant and equipment"</f>
        <v>Note 16 Revaluations of property, plant and equipment</v>
      </c>
    </row>
    <row r="7" spans="1:8" s="1" customFormat="1" ht="13.75" customHeight="1" x14ac:dyDescent="0.25">
      <c r="A7" s="31"/>
      <c r="B7" s="480" t="s">
        <v>940</v>
      </c>
      <c r="C7" s="45"/>
      <c r="D7" s="45"/>
      <c r="E7" s="45"/>
      <c r="F7" s="45"/>
    </row>
    <row r="8" spans="1:8" s="1" customFormat="1" ht="14.15" customHeight="1" x14ac:dyDescent="0.25">
      <c r="A8" s="31"/>
      <c r="B8" s="480"/>
      <c r="C8" s="45"/>
      <c r="D8" s="45"/>
      <c r="E8" s="45"/>
      <c r="F8" s="45"/>
    </row>
    <row r="9" spans="1:8" s="1" customFormat="1" ht="14.15" customHeight="1" x14ac:dyDescent="0.25">
      <c r="A9" s="31"/>
      <c r="B9" s="480"/>
      <c r="C9" s="45"/>
      <c r="D9" s="45"/>
      <c r="E9" s="45"/>
      <c r="F9" s="45"/>
    </row>
    <row r="10" spans="1:8" s="1" customFormat="1" ht="14.15" customHeight="1" x14ac:dyDescent="0.25">
      <c r="A10" s="31"/>
      <c r="B10" s="480"/>
      <c r="C10" s="45"/>
      <c r="D10" s="45"/>
      <c r="E10" s="45"/>
      <c r="F10" s="45"/>
    </row>
    <row r="11" spans="1:8" s="1" customFormat="1" ht="14.15" customHeight="1" x14ac:dyDescent="0.25">
      <c r="A11" s="31"/>
      <c r="B11" s="480"/>
      <c r="C11" s="45"/>
      <c r="D11" s="45"/>
      <c r="E11" s="45"/>
      <c r="F11" s="45"/>
    </row>
    <row r="12" spans="1:8" s="1" customFormat="1" ht="14.15" customHeight="1" x14ac:dyDescent="0.25">
      <c r="A12" s="31"/>
      <c r="B12" s="95"/>
    </row>
    <row r="13" spans="1:8" s="1" customFormat="1" ht="13.75" customHeight="1" x14ac:dyDescent="0.25">
      <c r="A13" s="31"/>
      <c r="B13" s="480" t="s">
        <v>941</v>
      </c>
      <c r="C13" s="45"/>
      <c r="D13" s="45"/>
      <c r="E13" s="45"/>
      <c r="F13" s="45"/>
    </row>
    <row r="14" spans="1:8" s="1" customFormat="1" ht="13.75" customHeight="1" x14ac:dyDescent="0.25">
      <c r="A14" s="31"/>
      <c r="B14" s="480"/>
      <c r="C14" s="45"/>
      <c r="D14" s="45"/>
      <c r="E14" s="45"/>
      <c r="F14" s="45"/>
    </row>
    <row r="15" spans="1:8" s="1" customFormat="1" ht="13.75" customHeight="1" x14ac:dyDescent="0.25">
      <c r="A15" s="31"/>
      <c r="B15" s="480"/>
      <c r="C15" s="45"/>
      <c r="D15" s="45"/>
      <c r="E15" s="45"/>
      <c r="F15" s="45"/>
    </row>
    <row r="16" spans="1:8" s="1" customFormat="1" ht="13.75" customHeight="1" x14ac:dyDescent="0.25">
      <c r="A16" s="31"/>
      <c r="B16" s="480"/>
      <c r="C16" s="45"/>
      <c r="D16" s="45"/>
      <c r="E16" s="45"/>
      <c r="F16" s="45"/>
    </row>
    <row r="17" spans="1:6" s="1" customFormat="1" ht="13.75" customHeight="1" x14ac:dyDescent="0.25">
      <c r="A17" s="31"/>
      <c r="B17" s="480"/>
      <c r="C17" s="45"/>
      <c r="D17" s="45"/>
      <c r="E17" s="45"/>
      <c r="F17" s="45"/>
    </row>
    <row r="18" spans="1:6" s="1" customFormat="1" ht="13.75" customHeight="1" x14ac:dyDescent="0.25">
      <c r="A18" s="31"/>
      <c r="B18" s="480"/>
      <c r="C18" s="45"/>
      <c r="D18" s="45"/>
      <c r="E18" s="45"/>
      <c r="F18" s="45"/>
    </row>
    <row r="19" spans="1:6" s="1" customFormat="1" ht="14.15" customHeight="1" x14ac:dyDescent="0.25">
      <c r="A19" s="31"/>
    </row>
    <row r="20" spans="1:6" s="1" customFormat="1" ht="14.15" customHeight="1" x14ac:dyDescent="0.25">
      <c r="A20" s="31"/>
      <c r="B20" s="480" t="s">
        <v>942</v>
      </c>
      <c r="C20" s="45"/>
      <c r="D20" s="45"/>
      <c r="E20" s="45"/>
      <c r="F20" s="45"/>
    </row>
    <row r="21" spans="1:6" s="1" customFormat="1" ht="14.15" customHeight="1" x14ac:dyDescent="0.25">
      <c r="A21" s="31"/>
      <c r="B21" s="480"/>
      <c r="C21" s="45"/>
      <c r="D21" s="45"/>
      <c r="E21" s="45"/>
      <c r="F21" s="45"/>
    </row>
    <row r="22" spans="1:6" s="1" customFormat="1" ht="14.15" customHeight="1" x14ac:dyDescent="0.25">
      <c r="A22" s="31"/>
      <c r="B22" s="480"/>
      <c r="C22" s="45"/>
      <c r="D22" s="45"/>
      <c r="E22" s="45"/>
      <c r="F22" s="45"/>
    </row>
    <row r="23" spans="1:6" s="1" customFormat="1" ht="13.75" customHeight="1" x14ac:dyDescent="0.25">
      <c r="A23" s="31"/>
      <c r="B23" s="480"/>
      <c r="C23" s="45"/>
      <c r="D23" s="45"/>
      <c r="E23" s="45"/>
      <c r="F23" s="45"/>
    </row>
    <row r="24" spans="1:6" s="1" customFormat="1" ht="14.15" customHeight="1" x14ac:dyDescent="0.25">
      <c r="A24" s="31"/>
    </row>
    <row r="25" spans="1:6" s="1" customFormat="1" ht="14.15" customHeight="1" x14ac:dyDescent="0.35">
      <c r="A25" s="32">
        <f>ROUNDDOWN(A6,0)+1</f>
        <v>17</v>
      </c>
      <c r="B25" s="93" t="str">
        <f>"Note " &amp;A25&amp; " Leases - "&amp;SelectedFT&amp;" as a lessee"</f>
        <v>Note 17 Leases - North West Ambulance Service NHS Trust as a lessee</v>
      </c>
    </row>
    <row r="26" spans="1:6" s="1" customFormat="1" ht="14.15" customHeight="1" x14ac:dyDescent="0.25">
      <c r="A26" s="31"/>
    </row>
    <row r="27" spans="1:6" s="1" customFormat="1" ht="14.15" customHeight="1" x14ac:dyDescent="0.25">
      <c r="A27" s="31"/>
      <c r="B27" s="1" t="s">
        <v>1433</v>
      </c>
    </row>
    <row r="28" spans="1:6" s="1" customFormat="1" ht="14.15" customHeight="1" x14ac:dyDescent="0.25">
      <c r="A28" s="31"/>
      <c r="B28" s="45" t="s">
        <v>1411</v>
      </c>
    </row>
    <row r="29" spans="1:6" s="1" customFormat="1" ht="14.15" customHeight="1" x14ac:dyDescent="0.25">
      <c r="A29" s="31"/>
      <c r="B29" s="45"/>
    </row>
  </sheetData>
  <customSheetViews>
    <customSheetView guid="{EDC1BD6E-863A-4FC6-A3A9-F32079F4F0C1}">
      <selection activeCell="F28" sqref="F28"/>
      <pageMargins left="0" right="0" top="0" bottom="0" header="0" footer="0"/>
      <pageSetup paperSize="9" orientation="portrait" verticalDpi="0" r:id="rId1"/>
    </customSheetView>
  </customSheetViews>
  <mergeCells count="3">
    <mergeCell ref="B13:B18"/>
    <mergeCell ref="B20:B23"/>
    <mergeCell ref="B7:B11"/>
  </mergeCells>
  <pageMargins left="0.7" right="0.7" top="0.75" bottom="0.75" header="0.3" footer="0.3"/>
  <pageSetup paperSize="9" orientation="portrait"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FF0000"/>
  </sheetPr>
  <dimension ref="A1:L92"/>
  <sheetViews>
    <sheetView workbookViewId="0"/>
  </sheetViews>
  <sheetFormatPr defaultColWidth="9.1796875" defaultRowHeight="14.15" customHeight="1" x14ac:dyDescent="0.25"/>
  <cols>
    <col min="1" max="1" width="1.1796875" style="31" customWidth="1"/>
    <col min="2" max="9" width="9.1796875" style="1"/>
    <col min="10" max="10" width="12.453125" style="1" customWidth="1"/>
    <col min="11" max="16384" width="9.1796875" style="1"/>
  </cols>
  <sheetData>
    <row r="1" spans="1:12" ht="14.15" customHeight="1" x14ac:dyDescent="0.25">
      <c r="A1" s="31">
        <f>ROUNDDOWN('Acc''g policies 1'!A3,0)+1</f>
        <v>2</v>
      </c>
      <c r="B1" s="16" t="str">
        <f>"Note " &amp; A1 &amp; " Operating Segments"</f>
        <v>Note 2 Operating Segments</v>
      </c>
    </row>
    <row r="3" spans="1:12" s="17" customFormat="1" ht="12.25" customHeight="1" x14ac:dyDescent="0.25">
      <c r="A3" s="48"/>
      <c r="B3" s="495" t="s">
        <v>1447</v>
      </c>
      <c r="C3" s="495"/>
      <c r="D3" s="495"/>
      <c r="E3" s="495"/>
      <c r="F3" s="495"/>
      <c r="G3" s="495"/>
      <c r="H3" s="495"/>
      <c r="I3" s="495"/>
      <c r="J3" s="495"/>
      <c r="K3" s="1"/>
      <c r="L3" s="1"/>
    </row>
    <row r="4" spans="1:12" s="17" customFormat="1" ht="14.15" customHeight="1" x14ac:dyDescent="0.25">
      <c r="A4" s="48"/>
      <c r="B4" s="495"/>
      <c r="C4" s="495"/>
      <c r="D4" s="495"/>
      <c r="E4" s="495"/>
      <c r="F4" s="495"/>
      <c r="G4" s="495"/>
      <c r="H4" s="495"/>
      <c r="I4" s="495"/>
      <c r="J4" s="495"/>
      <c r="K4" s="1"/>
      <c r="L4" s="1"/>
    </row>
    <row r="5" spans="1:12" s="17" customFormat="1" ht="14.15" customHeight="1" x14ac:dyDescent="0.25">
      <c r="A5" s="48"/>
      <c r="B5" s="495"/>
      <c r="C5" s="495"/>
      <c r="D5" s="495"/>
      <c r="E5" s="495"/>
      <c r="F5" s="495"/>
      <c r="G5" s="495"/>
      <c r="H5" s="495"/>
      <c r="I5" s="495"/>
      <c r="J5" s="495"/>
      <c r="K5" s="1"/>
      <c r="L5" s="1"/>
    </row>
    <row r="6" spans="1:12" s="17" customFormat="1" ht="14.15" customHeight="1" x14ac:dyDescent="0.25">
      <c r="A6" s="48"/>
      <c r="B6" s="495"/>
      <c r="C6" s="495"/>
      <c r="D6" s="495"/>
      <c r="E6" s="495"/>
      <c r="F6" s="495"/>
      <c r="G6" s="495"/>
      <c r="H6" s="495"/>
      <c r="I6" s="495"/>
      <c r="J6" s="495"/>
      <c r="K6" s="1"/>
    </row>
    <row r="7" spans="1:12" s="17" customFormat="1" ht="11.5" x14ac:dyDescent="0.25">
      <c r="A7" s="48"/>
      <c r="B7" s="495"/>
      <c r="C7" s="495"/>
      <c r="D7" s="495"/>
      <c r="E7" s="495"/>
      <c r="F7" s="495"/>
      <c r="G7" s="495"/>
      <c r="H7" s="495"/>
      <c r="I7" s="495"/>
      <c r="J7" s="495"/>
      <c r="K7" s="1"/>
    </row>
    <row r="8" spans="1:12" s="17" customFormat="1" ht="14.15" customHeight="1" x14ac:dyDescent="0.25">
      <c r="A8" s="48"/>
      <c r="K8" s="1"/>
    </row>
    <row r="9" spans="1:12" s="17" customFormat="1" ht="13.75" customHeight="1" x14ac:dyDescent="0.25">
      <c r="A9" s="48"/>
      <c r="B9" s="508" t="s">
        <v>738</v>
      </c>
      <c r="C9" s="508"/>
      <c r="D9" s="508"/>
      <c r="E9" s="508"/>
      <c r="F9" s="508"/>
      <c r="G9" s="508"/>
      <c r="H9" s="508"/>
      <c r="I9" s="508"/>
      <c r="J9" s="508"/>
      <c r="K9" s="1"/>
    </row>
    <row r="10" spans="1:12" s="17" customFormat="1" ht="11.5" x14ac:dyDescent="0.25">
      <c r="A10" s="48"/>
      <c r="B10" s="508"/>
      <c r="C10" s="508"/>
      <c r="D10" s="508"/>
      <c r="E10" s="508"/>
      <c r="F10" s="508"/>
      <c r="G10" s="508"/>
      <c r="H10" s="508"/>
      <c r="I10" s="508"/>
      <c r="J10" s="508"/>
      <c r="K10" s="1"/>
    </row>
    <row r="11" spans="1:12" s="17" customFormat="1" ht="13.75" customHeight="1" x14ac:dyDescent="0.25">
      <c r="A11" s="48"/>
      <c r="K11" s="1"/>
    </row>
    <row r="12" spans="1:12" s="17" customFormat="1" ht="13.75" customHeight="1" x14ac:dyDescent="0.35">
      <c r="A12" s="48"/>
      <c r="B12" s="508" t="s">
        <v>739</v>
      </c>
      <c r="C12" s="508"/>
      <c r="D12" s="508"/>
      <c r="E12" s="508"/>
      <c r="F12" s="508"/>
      <c r="G12" s="508"/>
      <c r="H12" s="508"/>
      <c r="I12" s="508"/>
      <c r="J12" s="508"/>
    </row>
    <row r="13" spans="1:12" s="17" customFormat="1" ht="13.75" customHeight="1" x14ac:dyDescent="0.35">
      <c r="A13" s="48"/>
      <c r="B13" s="508"/>
      <c r="C13" s="508"/>
      <c r="D13" s="508"/>
      <c r="E13" s="508"/>
      <c r="F13" s="508"/>
      <c r="G13" s="508"/>
      <c r="H13" s="508"/>
      <c r="I13" s="508"/>
      <c r="J13" s="508"/>
    </row>
    <row r="14" spans="1:12" s="17" customFormat="1" ht="14.15" customHeight="1" x14ac:dyDescent="0.35">
      <c r="A14" s="48"/>
    </row>
    <row r="15" spans="1:12" s="17" customFormat="1" ht="13.75" customHeight="1" x14ac:dyDescent="0.35">
      <c r="A15" s="48"/>
      <c r="B15" s="508" t="s">
        <v>740</v>
      </c>
      <c r="C15" s="508"/>
      <c r="D15" s="508"/>
      <c r="E15" s="508"/>
      <c r="F15" s="508"/>
      <c r="G15" s="508"/>
      <c r="H15" s="508"/>
      <c r="I15" s="508"/>
      <c r="J15" s="508"/>
    </row>
    <row r="16" spans="1:12" s="29" customFormat="1" ht="13.75" customHeight="1" x14ac:dyDescent="0.35">
      <c r="A16" s="49"/>
      <c r="B16" s="508"/>
      <c r="C16" s="508"/>
      <c r="D16" s="508"/>
      <c r="E16" s="508"/>
      <c r="F16" s="508"/>
      <c r="G16" s="508"/>
      <c r="H16" s="508"/>
      <c r="I16" s="508"/>
      <c r="J16" s="508"/>
    </row>
    <row r="17" spans="1:10" s="29" customFormat="1" ht="13.75" customHeight="1" x14ac:dyDescent="0.35">
      <c r="A17" s="49"/>
      <c r="B17" s="508"/>
      <c r="C17" s="508"/>
      <c r="D17" s="508"/>
      <c r="E17" s="508"/>
      <c r="F17" s="508"/>
      <c r="G17" s="508"/>
      <c r="H17" s="508"/>
      <c r="I17" s="508"/>
      <c r="J17" s="508"/>
    </row>
    <row r="18" spans="1:10" s="29" customFormat="1" ht="13.75" customHeight="1" x14ac:dyDescent="0.35">
      <c r="A18" s="49"/>
      <c r="B18" s="508"/>
      <c r="C18" s="508"/>
      <c r="D18" s="508"/>
      <c r="E18" s="508"/>
      <c r="F18" s="508"/>
      <c r="G18" s="508"/>
      <c r="H18" s="508"/>
      <c r="I18" s="508"/>
      <c r="J18" s="508"/>
    </row>
    <row r="19" spans="1:10" s="29" customFormat="1" ht="13.75" customHeight="1" x14ac:dyDescent="0.35">
      <c r="A19" s="49"/>
      <c r="B19" s="508"/>
      <c r="C19" s="508"/>
      <c r="D19" s="508"/>
      <c r="E19" s="508"/>
      <c r="F19" s="508"/>
      <c r="G19" s="508"/>
      <c r="H19" s="508"/>
      <c r="I19" s="508"/>
      <c r="J19" s="508"/>
    </row>
    <row r="20" spans="1:10" s="17" customFormat="1" ht="13.75" customHeight="1" x14ac:dyDescent="0.35">
      <c r="A20" s="48"/>
      <c r="B20" s="508"/>
      <c r="C20" s="508"/>
      <c r="D20" s="508"/>
      <c r="E20" s="508"/>
      <c r="F20" s="508"/>
      <c r="G20" s="508"/>
      <c r="H20" s="508"/>
      <c r="I20" s="508"/>
      <c r="J20" s="508"/>
    </row>
    <row r="21" spans="1:10" s="17" customFormat="1" ht="13.75" customHeight="1" x14ac:dyDescent="0.35">
      <c r="A21" s="48"/>
      <c r="B21" s="508"/>
      <c r="C21" s="508"/>
      <c r="D21" s="508"/>
      <c r="E21" s="508"/>
      <c r="F21" s="508"/>
      <c r="G21" s="508"/>
      <c r="H21" s="508"/>
      <c r="I21" s="508"/>
      <c r="J21" s="508"/>
    </row>
    <row r="22" spans="1:10" s="17" customFormat="1" ht="13.75" customHeight="1" x14ac:dyDescent="0.35">
      <c r="A22" s="48"/>
      <c r="B22" s="508"/>
      <c r="C22" s="508"/>
      <c r="D22" s="508"/>
      <c r="E22" s="508"/>
      <c r="F22" s="508"/>
      <c r="G22" s="508"/>
      <c r="H22" s="508"/>
      <c r="I22" s="508"/>
      <c r="J22" s="508"/>
    </row>
    <row r="23" spans="1:10" s="17" customFormat="1" ht="13.75" customHeight="1" x14ac:dyDescent="0.35">
      <c r="A23" s="48"/>
      <c r="B23" s="508"/>
      <c r="C23" s="508"/>
      <c r="D23" s="508"/>
      <c r="E23" s="508"/>
      <c r="F23" s="508"/>
      <c r="G23" s="508"/>
      <c r="H23" s="508"/>
      <c r="I23" s="508"/>
      <c r="J23" s="508"/>
    </row>
    <row r="24" spans="1:10" s="17" customFormat="1" ht="13.75" customHeight="1" x14ac:dyDescent="0.35">
      <c r="A24" s="48"/>
      <c r="B24" s="508"/>
      <c r="C24" s="508"/>
      <c r="D24" s="508"/>
      <c r="E24" s="508"/>
      <c r="F24" s="508"/>
      <c r="G24" s="508"/>
      <c r="H24" s="508"/>
      <c r="I24" s="508"/>
      <c r="J24" s="508"/>
    </row>
    <row r="25" spans="1:10" s="17" customFormat="1" ht="14.15" customHeight="1" x14ac:dyDescent="0.35">
      <c r="A25" s="48"/>
    </row>
    <row r="26" spans="1:10" s="17" customFormat="1" ht="13.75" customHeight="1" x14ac:dyDescent="0.35">
      <c r="A26" s="48"/>
      <c r="B26" s="508" t="s">
        <v>741</v>
      </c>
      <c r="C26" s="508"/>
      <c r="D26" s="508"/>
      <c r="E26" s="508"/>
      <c r="F26" s="508"/>
      <c r="G26" s="508"/>
      <c r="H26" s="508"/>
      <c r="I26" s="508"/>
      <c r="J26" s="508"/>
    </row>
    <row r="27" spans="1:10" s="17" customFormat="1" ht="13.75" customHeight="1" x14ac:dyDescent="0.35">
      <c r="A27" s="48"/>
      <c r="B27" s="508"/>
      <c r="C27" s="508"/>
      <c r="D27" s="508"/>
      <c r="E27" s="508"/>
      <c r="F27" s="508"/>
      <c r="G27" s="508"/>
      <c r="H27" s="508"/>
      <c r="I27" s="508"/>
      <c r="J27" s="508"/>
    </row>
    <row r="28" spans="1:10" s="17" customFormat="1" ht="13.75" customHeight="1" x14ac:dyDescent="0.35">
      <c r="A28" s="48"/>
      <c r="B28" s="508"/>
      <c r="C28" s="508"/>
      <c r="D28" s="508"/>
      <c r="E28" s="508"/>
      <c r="F28" s="508"/>
      <c r="G28" s="508"/>
      <c r="H28" s="508"/>
      <c r="I28" s="508"/>
      <c r="J28" s="508"/>
    </row>
    <row r="29" spans="1:10" s="17" customFormat="1" ht="13.75" customHeight="1" x14ac:dyDescent="0.35">
      <c r="A29" s="48"/>
      <c r="B29" s="508"/>
      <c r="C29" s="508"/>
      <c r="D29" s="508"/>
      <c r="E29" s="508"/>
      <c r="F29" s="508"/>
      <c r="G29" s="508"/>
      <c r="H29" s="508"/>
      <c r="I29" s="508"/>
      <c r="J29" s="508"/>
    </row>
    <row r="30" spans="1:10" s="17" customFormat="1" ht="13.75" customHeight="1" x14ac:dyDescent="0.35">
      <c r="A30" s="48"/>
      <c r="B30" s="46"/>
      <c r="C30" s="46"/>
      <c r="D30" s="46"/>
      <c r="E30" s="46"/>
      <c r="F30" s="46"/>
      <c r="G30" s="46"/>
      <c r="H30" s="46"/>
      <c r="I30" s="46"/>
      <c r="J30" s="46"/>
    </row>
    <row r="31" spans="1:10" s="17" customFormat="1" ht="13.75" customHeight="1" x14ac:dyDescent="0.35">
      <c r="A31" s="48"/>
      <c r="B31" s="508" t="s">
        <v>742</v>
      </c>
      <c r="C31" s="508"/>
      <c r="D31" s="508"/>
      <c r="E31" s="508"/>
      <c r="F31" s="508"/>
      <c r="G31" s="508"/>
      <c r="H31" s="508"/>
      <c r="I31" s="508"/>
      <c r="J31" s="508"/>
    </row>
    <row r="32" spans="1:10" s="17" customFormat="1" ht="13.75" customHeight="1" x14ac:dyDescent="0.35">
      <c r="A32" s="48"/>
      <c r="B32" s="508"/>
      <c r="C32" s="508"/>
      <c r="D32" s="508"/>
      <c r="E32" s="508"/>
      <c r="F32" s="508"/>
      <c r="G32" s="508"/>
      <c r="H32" s="508"/>
      <c r="I32" s="508"/>
      <c r="J32" s="508"/>
    </row>
    <row r="33" spans="1:10" s="17" customFormat="1" ht="14.15" customHeight="1" x14ac:dyDescent="0.35">
      <c r="A33" s="48"/>
    </row>
    <row r="34" spans="1:10" s="17" customFormat="1" ht="11.5" x14ac:dyDescent="0.35">
      <c r="A34" s="48"/>
      <c r="B34" s="508" t="s">
        <v>743</v>
      </c>
      <c r="C34" s="508"/>
      <c r="D34" s="508"/>
      <c r="E34" s="508"/>
      <c r="F34" s="508"/>
      <c r="G34" s="508"/>
      <c r="H34" s="508"/>
      <c r="I34" s="508"/>
      <c r="J34" s="508"/>
    </row>
    <row r="35" spans="1:10" s="17" customFormat="1" ht="14.15" customHeight="1" x14ac:dyDescent="0.35">
      <c r="A35" s="48"/>
      <c r="B35" s="508"/>
      <c r="C35" s="508"/>
      <c r="D35" s="508"/>
      <c r="E35" s="508"/>
      <c r="F35" s="508"/>
      <c r="G35" s="508"/>
      <c r="H35" s="508"/>
      <c r="I35" s="508"/>
      <c r="J35" s="508"/>
    </row>
    <row r="36" spans="1:10" s="17" customFormat="1" ht="14.15" customHeight="1" x14ac:dyDescent="0.35">
      <c r="A36" s="48"/>
      <c r="B36" s="508"/>
      <c r="C36" s="508"/>
      <c r="D36" s="508"/>
      <c r="E36" s="508"/>
      <c r="F36" s="508"/>
      <c r="G36" s="508"/>
      <c r="H36" s="508"/>
      <c r="I36" s="508"/>
      <c r="J36" s="508"/>
    </row>
    <row r="37" spans="1:10" s="17" customFormat="1" ht="14.15" customHeight="1" x14ac:dyDescent="0.35">
      <c r="A37" s="48"/>
      <c r="B37" s="508"/>
      <c r="C37" s="508"/>
      <c r="D37" s="508"/>
      <c r="E37" s="508"/>
      <c r="F37" s="508"/>
      <c r="G37" s="508"/>
      <c r="H37" s="508"/>
      <c r="I37" s="508"/>
      <c r="J37" s="508"/>
    </row>
    <row r="38" spans="1:10" s="17" customFormat="1" ht="14.15" customHeight="1" x14ac:dyDescent="0.35">
      <c r="A38" s="48"/>
      <c r="B38" s="508"/>
      <c r="C38" s="508"/>
      <c r="D38" s="508"/>
      <c r="E38" s="508"/>
      <c r="F38" s="508"/>
      <c r="G38" s="508"/>
      <c r="H38" s="508"/>
      <c r="I38" s="508"/>
      <c r="J38" s="508"/>
    </row>
    <row r="39" spans="1:10" s="17" customFormat="1" ht="14.15" customHeight="1" x14ac:dyDescent="0.35">
      <c r="A39" s="48"/>
      <c r="B39" s="508"/>
      <c r="C39" s="508"/>
      <c r="D39" s="508"/>
      <c r="E39" s="508"/>
      <c r="F39" s="508"/>
      <c r="G39" s="508"/>
      <c r="H39" s="508"/>
      <c r="I39" s="508"/>
      <c r="J39" s="508"/>
    </row>
    <row r="40" spans="1:10" s="17" customFormat="1" ht="14.15" customHeight="1" x14ac:dyDescent="0.35">
      <c r="A40" s="48"/>
      <c r="B40" s="508"/>
      <c r="C40" s="508"/>
      <c r="D40" s="508"/>
      <c r="E40" s="508"/>
      <c r="F40" s="508"/>
      <c r="G40" s="508"/>
      <c r="H40" s="508"/>
      <c r="I40" s="508"/>
      <c r="J40" s="508"/>
    </row>
    <row r="41" spans="1:10" s="17" customFormat="1" ht="14.15" customHeight="1" x14ac:dyDescent="0.35">
      <c r="A41" s="48"/>
      <c r="B41" s="508"/>
      <c r="C41" s="508"/>
      <c r="D41" s="508"/>
      <c r="E41" s="508"/>
      <c r="F41" s="508"/>
      <c r="G41" s="508"/>
      <c r="H41" s="508"/>
      <c r="I41" s="508"/>
      <c r="J41" s="508"/>
    </row>
    <row r="42" spans="1:10" s="17" customFormat="1" ht="26.25" customHeight="1" x14ac:dyDescent="0.35">
      <c r="A42" s="48"/>
      <c r="B42" s="508"/>
      <c r="C42" s="508"/>
      <c r="D42" s="508"/>
      <c r="E42" s="508"/>
      <c r="F42" s="508"/>
      <c r="G42" s="508"/>
      <c r="H42" s="508"/>
      <c r="I42" s="508"/>
      <c r="J42" s="508"/>
    </row>
    <row r="43" spans="1:10" s="17" customFormat="1" ht="14.15" customHeight="1" x14ac:dyDescent="0.35">
      <c r="A43" s="48"/>
    </row>
    <row r="44" spans="1:10" s="17" customFormat="1" ht="14.15" customHeight="1" x14ac:dyDescent="0.35">
      <c r="A44" s="48"/>
      <c r="B44" s="508" t="s">
        <v>744</v>
      </c>
      <c r="C44" s="508"/>
      <c r="D44" s="508"/>
      <c r="E44" s="508"/>
      <c r="F44" s="508"/>
      <c r="G44" s="508"/>
      <c r="H44" s="508"/>
      <c r="I44" s="508"/>
      <c r="J44" s="508"/>
    </row>
    <row r="45" spans="1:10" s="17" customFormat="1" ht="14.15" customHeight="1" x14ac:dyDescent="0.35">
      <c r="A45" s="48"/>
      <c r="B45" s="508"/>
      <c r="C45" s="508"/>
      <c r="D45" s="508"/>
      <c r="E45" s="508"/>
      <c r="F45" s="508"/>
      <c r="G45" s="508"/>
      <c r="H45" s="508"/>
      <c r="I45" s="508"/>
      <c r="J45" s="508"/>
    </row>
    <row r="46" spans="1:10" s="17" customFormat="1" ht="14.15" customHeight="1" x14ac:dyDescent="0.35">
      <c r="A46" s="48"/>
      <c r="B46" s="508"/>
      <c r="C46" s="508"/>
      <c r="D46" s="508"/>
      <c r="E46" s="508"/>
      <c r="F46" s="508"/>
      <c r="G46" s="508"/>
      <c r="H46" s="508"/>
      <c r="I46" s="508"/>
      <c r="J46" s="508"/>
    </row>
    <row r="47" spans="1:10" s="17" customFormat="1" ht="14.15" customHeight="1" x14ac:dyDescent="0.35">
      <c r="A47" s="48"/>
      <c r="B47" s="508"/>
      <c r="C47" s="508"/>
      <c r="D47" s="508"/>
      <c r="E47" s="508"/>
      <c r="F47" s="508"/>
      <c r="G47" s="508"/>
      <c r="H47" s="508"/>
      <c r="I47" s="508"/>
      <c r="J47" s="508"/>
    </row>
    <row r="48" spans="1:10" s="17" customFormat="1" ht="14.15" customHeight="1" x14ac:dyDescent="0.35">
      <c r="A48" s="48"/>
      <c r="B48" s="130"/>
      <c r="C48" s="130"/>
      <c r="D48" s="130"/>
      <c r="E48" s="130"/>
      <c r="F48" s="130"/>
      <c r="G48" s="130"/>
      <c r="H48" s="130"/>
      <c r="I48" s="130"/>
      <c r="J48" s="130"/>
    </row>
    <row r="49" spans="1:1" s="17" customFormat="1" ht="14.15" customHeight="1" x14ac:dyDescent="0.35">
      <c r="A49" s="48"/>
    </row>
    <row r="50" spans="1:1" s="17" customFormat="1" ht="14.15" customHeight="1" x14ac:dyDescent="0.35">
      <c r="A50" s="48"/>
    </row>
    <row r="51" spans="1:1" s="17" customFormat="1" ht="14.15" customHeight="1" x14ac:dyDescent="0.35">
      <c r="A51" s="48"/>
    </row>
    <row r="52" spans="1:1" s="17" customFormat="1" ht="14.15" customHeight="1" x14ac:dyDescent="0.35">
      <c r="A52" s="48"/>
    </row>
    <row r="53" spans="1:1" s="17" customFormat="1" ht="14.15" customHeight="1" x14ac:dyDescent="0.35">
      <c r="A53" s="48"/>
    </row>
    <row r="54" spans="1:1" s="17" customFormat="1" ht="14.15" customHeight="1" x14ac:dyDescent="0.35">
      <c r="A54" s="48"/>
    </row>
    <row r="55" spans="1:1" s="17" customFormat="1" ht="14.15" customHeight="1" x14ac:dyDescent="0.35">
      <c r="A55" s="48"/>
    </row>
    <row r="56" spans="1:1" s="17" customFormat="1" ht="14.15" customHeight="1" x14ac:dyDescent="0.35">
      <c r="A56" s="48"/>
    </row>
    <row r="57" spans="1:1" s="17" customFormat="1" ht="14.15" customHeight="1" x14ac:dyDescent="0.35">
      <c r="A57" s="48"/>
    </row>
    <row r="58" spans="1:1" s="17" customFormat="1" ht="14.15" customHeight="1" x14ac:dyDescent="0.35">
      <c r="A58" s="48"/>
    </row>
    <row r="59" spans="1:1" s="17" customFormat="1" ht="14.15" customHeight="1" x14ac:dyDescent="0.35">
      <c r="A59" s="48"/>
    </row>
    <row r="60" spans="1:1" s="17" customFormat="1" ht="14.15" customHeight="1" x14ac:dyDescent="0.35">
      <c r="A60" s="48"/>
    </row>
    <row r="61" spans="1:1" s="17" customFormat="1" ht="14.15" customHeight="1" x14ac:dyDescent="0.35">
      <c r="A61" s="48"/>
    </row>
    <row r="62" spans="1:1" s="17" customFormat="1" ht="14.15" customHeight="1" x14ac:dyDescent="0.35">
      <c r="A62" s="48"/>
    </row>
    <row r="63" spans="1:1" s="17" customFormat="1" ht="14.15" customHeight="1" x14ac:dyDescent="0.35">
      <c r="A63" s="48"/>
    </row>
    <row r="64" spans="1:1" s="17" customFormat="1" ht="14.15" customHeight="1" x14ac:dyDescent="0.35">
      <c r="A64" s="48"/>
    </row>
    <row r="65" spans="1:1" s="17" customFormat="1" ht="14.15" customHeight="1" x14ac:dyDescent="0.35">
      <c r="A65" s="48"/>
    </row>
    <row r="66" spans="1:1" s="17" customFormat="1" ht="14.15" customHeight="1" x14ac:dyDescent="0.35">
      <c r="A66" s="48"/>
    </row>
    <row r="67" spans="1:1" s="17" customFormat="1" ht="14.15" customHeight="1" x14ac:dyDescent="0.35">
      <c r="A67" s="48"/>
    </row>
    <row r="68" spans="1:1" s="17" customFormat="1" ht="14.15" customHeight="1" x14ac:dyDescent="0.35">
      <c r="A68" s="48"/>
    </row>
    <row r="69" spans="1:1" s="17" customFormat="1" ht="14.15" customHeight="1" x14ac:dyDescent="0.35">
      <c r="A69" s="48"/>
    </row>
    <row r="70" spans="1:1" s="17" customFormat="1" ht="14.15" customHeight="1" x14ac:dyDescent="0.35">
      <c r="A70" s="48"/>
    </row>
    <row r="71" spans="1:1" s="17" customFormat="1" ht="14.15" customHeight="1" x14ac:dyDescent="0.35">
      <c r="A71" s="48"/>
    </row>
    <row r="72" spans="1:1" s="17" customFormat="1" ht="14.15" customHeight="1" x14ac:dyDescent="0.35">
      <c r="A72" s="48"/>
    </row>
    <row r="73" spans="1:1" s="17" customFormat="1" ht="14.15" customHeight="1" x14ac:dyDescent="0.35">
      <c r="A73" s="48"/>
    </row>
    <row r="74" spans="1:1" s="17" customFormat="1" ht="14.15" customHeight="1" x14ac:dyDescent="0.35">
      <c r="A74" s="48"/>
    </row>
    <row r="75" spans="1:1" s="17" customFormat="1" ht="14.15" customHeight="1" x14ac:dyDescent="0.35">
      <c r="A75" s="48"/>
    </row>
    <row r="76" spans="1:1" s="17" customFormat="1" ht="14.15" customHeight="1" x14ac:dyDescent="0.35">
      <c r="A76" s="48"/>
    </row>
    <row r="77" spans="1:1" s="17" customFormat="1" ht="14.15" customHeight="1" x14ac:dyDescent="0.35">
      <c r="A77" s="48"/>
    </row>
    <row r="78" spans="1:1" s="17" customFormat="1" ht="14.15" customHeight="1" x14ac:dyDescent="0.35">
      <c r="A78" s="48"/>
    </row>
    <row r="79" spans="1:1" s="17" customFormat="1" ht="14.15" customHeight="1" x14ac:dyDescent="0.35">
      <c r="A79" s="48"/>
    </row>
    <row r="80" spans="1:1" s="17" customFormat="1" ht="14.15" customHeight="1" x14ac:dyDescent="0.35">
      <c r="A80" s="48"/>
    </row>
    <row r="81" spans="1:1" s="17" customFormat="1" ht="14.15" customHeight="1" x14ac:dyDescent="0.35">
      <c r="A81" s="48"/>
    </row>
    <row r="82" spans="1:1" s="17" customFormat="1" ht="14.15" customHeight="1" x14ac:dyDescent="0.35">
      <c r="A82" s="48"/>
    </row>
    <row r="83" spans="1:1" s="17" customFormat="1" ht="14.15" customHeight="1" x14ac:dyDescent="0.35">
      <c r="A83" s="48"/>
    </row>
    <row r="84" spans="1:1" s="17" customFormat="1" ht="14.15" customHeight="1" x14ac:dyDescent="0.35">
      <c r="A84" s="48"/>
    </row>
    <row r="85" spans="1:1" s="17" customFormat="1" ht="14.15" customHeight="1" x14ac:dyDescent="0.35">
      <c r="A85" s="48"/>
    </row>
    <row r="86" spans="1:1" s="17" customFormat="1" ht="14.15" customHeight="1" x14ac:dyDescent="0.35">
      <c r="A86" s="48"/>
    </row>
    <row r="87" spans="1:1" s="17" customFormat="1" ht="14.15" customHeight="1" x14ac:dyDescent="0.35">
      <c r="A87" s="48"/>
    </row>
    <row r="88" spans="1:1" s="17" customFormat="1" ht="14.15" customHeight="1" x14ac:dyDescent="0.35">
      <c r="A88" s="48"/>
    </row>
    <row r="89" spans="1:1" s="17" customFormat="1" ht="14.15" customHeight="1" x14ac:dyDescent="0.35">
      <c r="A89" s="48"/>
    </row>
    <row r="90" spans="1:1" s="17" customFormat="1" ht="14.15" customHeight="1" x14ac:dyDescent="0.35">
      <c r="A90" s="48"/>
    </row>
    <row r="91" spans="1:1" s="17" customFormat="1" ht="14.15" customHeight="1" x14ac:dyDescent="0.35">
      <c r="A91" s="48"/>
    </row>
    <row r="92" spans="1:1" s="17" customFormat="1" ht="14.15" customHeight="1" x14ac:dyDescent="0.35">
      <c r="A92" s="48"/>
    </row>
  </sheetData>
  <customSheetViews>
    <customSheetView guid="{EDC1BD6E-863A-4FC6-A3A9-F32079F4F0C1}" topLeftCell="A3">
      <selection activeCell="L48" sqref="L48"/>
      <pageMargins left="0" right="0" top="0" bottom="0" header="0" footer="0"/>
      <pageSetup paperSize="9" orientation="portrait" verticalDpi="0" r:id="rId1"/>
      <headerFooter>
        <oddHeader>&amp;LINSERT YOUR NHS Foundation Trust&amp;RStatement of accounts 2014/15</oddHeader>
      </headerFooter>
    </customSheetView>
  </customSheetViews>
  <mergeCells count="8">
    <mergeCell ref="B44:J47"/>
    <mergeCell ref="B3:J7"/>
    <mergeCell ref="B9:J10"/>
    <mergeCell ref="B34:J42"/>
    <mergeCell ref="B26:J29"/>
    <mergeCell ref="B31:J32"/>
    <mergeCell ref="B15:J24"/>
    <mergeCell ref="B12:J13"/>
  </mergeCells>
  <pageMargins left="0.7" right="0.7" top="0.75" bottom="0.75" header="0.3" footer="0.3"/>
  <pageSetup paperSize="9" orientation="portrait"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5">
    <tabColor rgb="FFFF0000"/>
  </sheetPr>
  <dimension ref="A1:O28"/>
  <sheetViews>
    <sheetView workbookViewId="0"/>
  </sheetViews>
  <sheetFormatPr defaultColWidth="9.1796875" defaultRowHeight="13.75" customHeight="1" x14ac:dyDescent="0.25"/>
  <cols>
    <col min="1" max="1" width="1.54296875" style="31" customWidth="1"/>
    <col min="2" max="2" width="62.1796875" style="1" customWidth="1"/>
    <col min="3" max="3" width="11.453125" style="1" customWidth="1"/>
    <col min="4" max="4" width="0.81640625" style="1" customWidth="1"/>
    <col min="5" max="5" width="11.453125" style="1" customWidth="1"/>
    <col min="6" max="16384" width="9.1796875" style="1"/>
  </cols>
  <sheetData>
    <row r="1" spans="1:15" ht="13.75" customHeight="1" x14ac:dyDescent="0.25">
      <c r="A1" s="31" t="e">
        <f>ROUNDDOWN('5-6 Op Exp'!A18,0)+1</f>
        <v>#REF!</v>
      </c>
      <c r="B1" s="14" t="e">
        <f>"Note "&amp;A1&amp; " Operating leases - "&amp;SelectedFT&amp;" as lessor"</f>
        <v>#REF!</v>
      </c>
      <c r="J1" s="100"/>
    </row>
    <row r="2" spans="1:15" ht="33.75" customHeight="1" x14ac:dyDescent="0.25">
      <c r="B2" s="432" t="str">
        <f>"This note discloses income generated in operating lease agreements where " &amp; SelectedFT &amp; " is the lessor."</f>
        <v>This note discloses income generated in operating lease agreements where North West Ambulance Service NHS Trust is the lessor.</v>
      </c>
      <c r="C2" s="432"/>
      <c r="D2" s="432"/>
      <c r="E2" s="432"/>
    </row>
    <row r="3" spans="1:15" ht="38.25" customHeight="1" x14ac:dyDescent="0.25">
      <c r="B3" s="496" t="s">
        <v>1377</v>
      </c>
      <c r="C3" s="496"/>
      <c r="D3" s="496"/>
      <c r="E3" s="496"/>
    </row>
    <row r="4" spans="1:15" ht="13.75" customHeight="1" x14ac:dyDescent="0.35">
      <c r="B4" s="16"/>
      <c r="C4" s="457"/>
      <c r="D4" s="457"/>
      <c r="E4" s="457"/>
    </row>
    <row r="5" spans="1:15" ht="13.75" customHeight="1" x14ac:dyDescent="0.35">
      <c r="A5" s="31" t="e">
        <f>A1+0.1</f>
        <v>#REF!</v>
      </c>
      <c r="B5" s="14" t="e">
        <f>"Note "&amp;A5&amp; " Operating lease income"</f>
        <v>#REF!</v>
      </c>
      <c r="C5" s="168"/>
      <c r="D5" s="168"/>
      <c r="E5" s="168"/>
    </row>
    <row r="6" spans="1:15" ht="14.15" customHeight="1" x14ac:dyDescent="0.25">
      <c r="C6" s="191" t="str">
        <f>CurrentFY</f>
        <v>2024/25</v>
      </c>
      <c r="D6" s="192"/>
      <c r="E6" s="191" t="str">
        <f>ComparativeFY</f>
        <v>2023/24</v>
      </c>
      <c r="G6" s="80"/>
    </row>
    <row r="7" spans="1:15" ht="14.15" customHeight="1" x14ac:dyDescent="0.25">
      <c r="C7" s="191" t="s">
        <v>542</v>
      </c>
      <c r="D7" s="192"/>
      <c r="E7" s="191" t="s">
        <v>542</v>
      </c>
      <c r="G7" s="80"/>
    </row>
    <row r="8" spans="1:15" ht="14.5" customHeight="1" x14ac:dyDescent="0.25">
      <c r="B8" s="197" t="s">
        <v>1330</v>
      </c>
      <c r="C8" s="193"/>
      <c r="D8" s="194"/>
      <c r="E8" s="193"/>
      <c r="G8" s="41"/>
    </row>
    <row r="9" spans="1:15" ht="14.5" customHeight="1" x14ac:dyDescent="0.25">
      <c r="B9" s="198" t="s">
        <v>879</v>
      </c>
      <c r="C9" s="41">
        <v>0</v>
      </c>
      <c r="D9" s="213"/>
      <c r="E9" s="41">
        <v>0</v>
      </c>
      <c r="G9" s="41"/>
    </row>
    <row r="10" spans="1:15" ht="14.5" customHeight="1" x14ac:dyDescent="0.25">
      <c r="B10" s="198" t="s">
        <v>1378</v>
      </c>
      <c r="C10" s="41">
        <v>0</v>
      </c>
      <c r="D10" s="213"/>
      <c r="E10" s="41">
        <v>0</v>
      </c>
      <c r="G10" s="41"/>
    </row>
    <row r="11" spans="1:15" s="2" customFormat="1" ht="14.15" customHeight="1" thickBot="1" x14ac:dyDescent="0.3">
      <c r="A11" s="30"/>
      <c r="B11" s="197" t="s">
        <v>1331</v>
      </c>
      <c r="C11" s="42">
        <f>SUM(C9:C10)</f>
        <v>0</v>
      </c>
      <c r="D11" s="115"/>
      <c r="E11" s="42">
        <f>SUM(E9:E10)</f>
        <v>0</v>
      </c>
      <c r="G11" s="41"/>
      <c r="I11" s="1"/>
      <c r="J11" s="1"/>
      <c r="K11" s="1"/>
      <c r="L11" s="1"/>
      <c r="M11" s="1"/>
      <c r="N11" s="1"/>
      <c r="O11" s="1"/>
    </row>
    <row r="12" spans="1:15" s="2" customFormat="1" ht="14.15" customHeight="1" thickTop="1" x14ac:dyDescent="0.25">
      <c r="A12" s="30"/>
      <c r="B12" s="199"/>
      <c r="C12" s="214"/>
      <c r="D12" s="213"/>
      <c r="E12" s="214"/>
      <c r="G12" s="41"/>
      <c r="I12" s="1"/>
      <c r="J12" s="1"/>
      <c r="K12" s="1"/>
      <c r="L12" s="1"/>
      <c r="M12" s="1"/>
      <c r="N12" s="1"/>
      <c r="O12" s="1"/>
    </row>
    <row r="13" spans="1:15" s="2" customFormat="1" ht="14.15" customHeight="1" x14ac:dyDescent="0.25">
      <c r="A13" s="30"/>
      <c r="B13" s="197"/>
      <c r="C13" s="88"/>
      <c r="D13" s="41"/>
      <c r="E13" s="41"/>
      <c r="G13" s="41"/>
      <c r="I13" s="1"/>
      <c r="J13" s="1"/>
      <c r="K13" s="1"/>
      <c r="L13" s="1"/>
      <c r="M13" s="1"/>
      <c r="N13" s="1"/>
      <c r="O13" s="1"/>
    </row>
    <row r="14" spans="1:15" s="2" customFormat="1" ht="14.15" customHeight="1" x14ac:dyDescent="0.25">
      <c r="A14" s="31" t="e">
        <f>A5+0.1</f>
        <v>#REF!</v>
      </c>
      <c r="B14" s="14" t="e">
        <f>"Note "&amp;A14&amp; " Future lease receipts"</f>
        <v>#REF!</v>
      </c>
      <c r="C14" s="88"/>
      <c r="D14" s="41"/>
      <c r="E14" s="41"/>
      <c r="G14" s="41"/>
      <c r="I14" s="1"/>
      <c r="J14" s="1"/>
      <c r="K14" s="1"/>
      <c r="L14" s="1"/>
      <c r="M14" s="1"/>
      <c r="N14" s="1"/>
      <c r="O14" s="1"/>
    </row>
    <row r="15" spans="1:15" s="2" customFormat="1" ht="23" x14ac:dyDescent="0.25">
      <c r="A15" s="30"/>
      <c r="B15" s="198"/>
      <c r="C15" s="85" t="str">
        <f>TEXT(CurrentYearEnd, "d mmmm yyyy")</f>
        <v>31 March 2025</v>
      </c>
      <c r="D15" s="41"/>
      <c r="E15" s="80" t="str">
        <f>TEXT(ComparativeYearEnd, "d mmmm yyyy")</f>
        <v>31 March 2024</v>
      </c>
      <c r="G15" s="41"/>
      <c r="I15" s="1"/>
      <c r="J15" s="1"/>
      <c r="K15" s="1"/>
      <c r="L15" s="1"/>
      <c r="M15" s="1"/>
      <c r="N15" s="1"/>
      <c r="O15" s="1"/>
    </row>
    <row r="16" spans="1:15" s="2" customFormat="1" ht="14.15" customHeight="1" x14ac:dyDescent="0.25">
      <c r="A16" s="30"/>
      <c r="B16" s="198"/>
      <c r="C16" s="80" t="s">
        <v>542</v>
      </c>
      <c r="D16" s="41"/>
      <c r="E16" s="80" t="s">
        <v>542</v>
      </c>
      <c r="G16" s="41"/>
      <c r="I16" s="1"/>
      <c r="J16" s="1"/>
      <c r="K16" s="1"/>
      <c r="L16" s="1"/>
      <c r="M16" s="1"/>
      <c r="N16" s="1"/>
      <c r="O16" s="1"/>
    </row>
    <row r="17" spans="1:7" s="2" customFormat="1" ht="14.15" customHeight="1" x14ac:dyDescent="0.25">
      <c r="A17" s="30"/>
      <c r="B17" s="197" t="s">
        <v>1474</v>
      </c>
      <c r="C17" s="214"/>
      <c r="D17" s="213"/>
      <c r="G17" s="41"/>
    </row>
    <row r="18" spans="1:7" s="2" customFormat="1" ht="14.15" customHeight="1" x14ac:dyDescent="0.25">
      <c r="A18" s="30"/>
      <c r="B18" s="198" t="s">
        <v>1332</v>
      </c>
      <c r="C18" s="41">
        <v>0</v>
      </c>
      <c r="D18" s="41"/>
      <c r="E18" s="41">
        <v>0</v>
      </c>
      <c r="G18" s="41"/>
    </row>
    <row r="19" spans="1:7" s="2" customFormat="1" ht="14.15" customHeight="1" x14ac:dyDescent="0.25">
      <c r="A19" s="30"/>
      <c r="B19" s="198" t="s">
        <v>1333</v>
      </c>
      <c r="C19" s="41">
        <v>0</v>
      </c>
      <c r="D19" s="41"/>
      <c r="E19" s="41">
        <v>0</v>
      </c>
      <c r="G19" s="41"/>
    </row>
    <row r="20" spans="1:7" s="2" customFormat="1" ht="14.15" customHeight="1" x14ac:dyDescent="0.25">
      <c r="A20" s="30"/>
      <c r="B20" s="198" t="s">
        <v>1334</v>
      </c>
      <c r="C20" s="41">
        <v>0</v>
      </c>
      <c r="D20" s="41"/>
      <c r="E20" s="41">
        <v>0</v>
      </c>
      <c r="G20" s="41"/>
    </row>
    <row r="21" spans="1:7" s="2" customFormat="1" ht="14.15" customHeight="1" x14ac:dyDescent="0.25">
      <c r="A21" s="30"/>
      <c r="B21" s="198" t="s">
        <v>1335</v>
      </c>
      <c r="C21" s="41">
        <v>0</v>
      </c>
      <c r="D21" s="41"/>
      <c r="E21" s="41">
        <v>0</v>
      </c>
      <c r="G21" s="41"/>
    </row>
    <row r="22" spans="1:7" s="2" customFormat="1" ht="14.15" customHeight="1" x14ac:dyDescent="0.25">
      <c r="A22" s="30"/>
      <c r="B22" s="198" t="s">
        <v>1336</v>
      </c>
      <c r="C22" s="41">
        <v>0</v>
      </c>
      <c r="D22" s="41"/>
      <c r="E22" s="41">
        <v>0</v>
      </c>
      <c r="G22" s="41"/>
    </row>
    <row r="23" spans="1:7" s="2" customFormat="1" ht="14.15" customHeight="1" x14ac:dyDescent="0.25">
      <c r="A23" s="30"/>
      <c r="B23" s="198" t="s">
        <v>1337</v>
      </c>
      <c r="C23" s="41">
        <v>0</v>
      </c>
      <c r="D23" s="41"/>
      <c r="E23" s="41">
        <v>0</v>
      </c>
      <c r="G23" s="41"/>
    </row>
    <row r="24" spans="1:7" s="2" customFormat="1" ht="14.15" customHeight="1" thickBot="1" x14ac:dyDescent="0.3">
      <c r="A24" s="30"/>
      <c r="B24" s="197" t="s">
        <v>541</v>
      </c>
      <c r="C24" s="42">
        <f>SUM(C18:C23)</f>
        <v>0</v>
      </c>
      <c r="D24" s="26"/>
      <c r="E24" s="42">
        <f>SUM(E18:E23)</f>
        <v>0</v>
      </c>
      <c r="G24" s="41"/>
    </row>
    <row r="25" spans="1:7" s="2" customFormat="1" ht="14.15" customHeight="1" thickTop="1" x14ac:dyDescent="0.25">
      <c r="A25" s="30"/>
      <c r="B25" s="198"/>
      <c r="C25" s="193"/>
      <c r="D25" s="194"/>
      <c r="E25" s="193"/>
      <c r="G25" s="41"/>
    </row>
    <row r="26" spans="1:7" ht="11.5" x14ac:dyDescent="0.25">
      <c r="C26" s="193"/>
      <c r="D26" s="41"/>
      <c r="G26" s="2"/>
    </row>
    <row r="27" spans="1:7" ht="13.75" customHeight="1" x14ac:dyDescent="0.25">
      <c r="B27" s="14"/>
      <c r="C27" s="193"/>
      <c r="D27" s="41"/>
      <c r="E27" s="2"/>
      <c r="G27" s="2"/>
    </row>
    <row r="28" spans="1:7" ht="13.75" customHeight="1" x14ac:dyDescent="0.25">
      <c r="B28" s="10"/>
      <c r="C28" s="193"/>
      <c r="D28" s="41"/>
      <c r="E28" s="2"/>
      <c r="G28" s="2"/>
    </row>
  </sheetData>
  <customSheetViews>
    <customSheetView guid="{EDC1BD6E-863A-4FC6-A3A9-F32079F4F0C1}">
      <selection activeCell="N34" sqref="N34"/>
      <pageMargins left="0" right="0" top="0" bottom="0" header="0" footer="0"/>
      <pageSetup paperSize="9" orientation="portrait" verticalDpi="0" r:id="rId1"/>
    </customSheetView>
  </customSheetViews>
  <mergeCells count="3">
    <mergeCell ref="B2:E2"/>
    <mergeCell ref="C4:E4"/>
    <mergeCell ref="B3:E3"/>
  </mergeCells>
  <pageMargins left="0.7" right="0.7" top="0.75" bottom="0.75" header="0.3" footer="0.3"/>
  <pageSetup paperSize="9" orientation="portrait"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3ADE-6EEB-4077-8AC8-E30506087357}">
  <sheetPr codeName="Sheet12">
    <tabColor rgb="FFFF0000"/>
  </sheetPr>
  <dimension ref="A1:O30"/>
  <sheetViews>
    <sheetView workbookViewId="0"/>
  </sheetViews>
  <sheetFormatPr defaultColWidth="9.1796875" defaultRowHeight="14.15" customHeight="1" x14ac:dyDescent="0.25"/>
  <cols>
    <col min="1" max="1" width="0.81640625" style="30" customWidth="1"/>
    <col min="2" max="2" width="60.54296875" style="10" customWidth="1"/>
    <col min="3" max="5" width="11.453125" style="2" customWidth="1"/>
    <col min="6" max="6" width="1.1796875" style="2" customWidth="1"/>
    <col min="7" max="9" width="11.453125" style="2" customWidth="1"/>
    <col min="10" max="16384" width="9.1796875" style="2"/>
  </cols>
  <sheetData>
    <row r="1" spans="1:14" ht="13.75" customHeight="1" x14ac:dyDescent="0.25">
      <c r="A1" s="30">
        <f>'3-4 Op Inc'!A48+0.1</f>
        <v>3.3000000000000003</v>
      </c>
      <c r="B1" s="93" t="str">
        <f>"Note " &amp;A1 &amp; " Overseas visitors (relating to patients charged directly by the provider)"</f>
        <v>Note 3.3 Overseas visitors (relating to patients charged directly by the provider)</v>
      </c>
      <c r="J1" s="100"/>
    </row>
    <row r="2" spans="1:14" s="1" customFormat="1" ht="14.15" customHeight="1" x14ac:dyDescent="0.25">
      <c r="A2" s="31"/>
      <c r="C2" s="80" t="str">
        <f>CurrentFY</f>
        <v>2024/25</v>
      </c>
      <c r="D2" s="80" t="str">
        <f>ComparativeFY</f>
        <v>2023/24</v>
      </c>
      <c r="F2" s="80"/>
    </row>
    <row r="3" spans="1:14" s="1" customFormat="1" ht="14.15" customHeight="1" x14ac:dyDescent="0.25">
      <c r="A3" s="31"/>
      <c r="C3" s="80" t="s">
        <v>542</v>
      </c>
      <c r="D3" s="80" t="s">
        <v>542</v>
      </c>
      <c r="F3" s="80"/>
    </row>
    <row r="4" spans="1:14" s="1" customFormat="1" ht="14.5" customHeight="1" x14ac:dyDescent="0.25">
      <c r="A4" s="31"/>
      <c r="B4" s="105" t="s">
        <v>774</v>
      </c>
      <c r="C4" s="41">
        <v>0</v>
      </c>
      <c r="D4" s="41">
        <v>0</v>
      </c>
      <c r="F4" s="41"/>
    </row>
    <row r="5" spans="1:14" s="1" customFormat="1" ht="14.5" customHeight="1" x14ac:dyDescent="0.25">
      <c r="A5" s="31"/>
      <c r="B5" s="105" t="s">
        <v>775</v>
      </c>
      <c r="C5" s="41">
        <v>0</v>
      </c>
      <c r="D5" s="41">
        <v>0</v>
      </c>
      <c r="F5" s="41"/>
    </row>
    <row r="6" spans="1:14" s="1" customFormat="1" ht="14.5" customHeight="1" x14ac:dyDescent="0.25">
      <c r="A6" s="31"/>
      <c r="B6" s="105" t="s">
        <v>776</v>
      </c>
      <c r="C6" s="41">
        <v>0</v>
      </c>
      <c r="D6" s="41">
        <v>0</v>
      </c>
      <c r="F6" s="41"/>
    </row>
    <row r="7" spans="1:14" ht="14.15" customHeight="1" x14ac:dyDescent="0.25">
      <c r="B7" s="105" t="s">
        <v>777</v>
      </c>
      <c r="C7" s="41">
        <v>0</v>
      </c>
      <c r="D7" s="41">
        <v>0</v>
      </c>
      <c r="F7" s="41"/>
    </row>
    <row r="8" spans="1:14" s="1" customFormat="1" ht="14.15" customHeight="1" x14ac:dyDescent="0.25">
      <c r="A8" s="31"/>
      <c r="C8" s="120"/>
      <c r="D8" s="120"/>
      <c r="F8" s="212"/>
    </row>
    <row r="9" spans="1:14" customFormat="1" ht="14.15" customHeight="1" x14ac:dyDescent="0.35">
      <c r="A9" s="32">
        <f>ROUNDDOWN(A1,0)+1</f>
        <v>4</v>
      </c>
      <c r="B9" s="14" t="str">
        <f>"Note " &amp;A9 &amp; " Other operating income"</f>
        <v>Note 4 Other operating income</v>
      </c>
      <c r="C9" s="455" t="str">
        <f>CurrentFY</f>
        <v>2024/25</v>
      </c>
      <c r="D9" s="455"/>
      <c r="E9" s="455"/>
      <c r="F9" s="1"/>
      <c r="G9" s="455" t="str">
        <f>ComparativeFY</f>
        <v>2023/24</v>
      </c>
      <c r="H9" s="455"/>
      <c r="I9" s="455"/>
      <c r="K9" s="1"/>
      <c r="L9" s="1"/>
      <c r="M9" s="1"/>
      <c r="N9" s="1"/>
    </row>
    <row r="10" spans="1:14" s="173" customFormat="1" ht="28.75" customHeight="1" x14ac:dyDescent="0.35">
      <c r="A10" s="171"/>
      <c r="B10" s="172"/>
      <c r="C10" s="172" t="s">
        <v>778</v>
      </c>
      <c r="D10" s="172" t="s">
        <v>779</v>
      </c>
      <c r="E10" s="80" t="s">
        <v>541</v>
      </c>
      <c r="G10" s="172" t="s">
        <v>778</v>
      </c>
      <c r="H10" s="172" t="s">
        <v>779</v>
      </c>
      <c r="I10" s="80" t="s">
        <v>541</v>
      </c>
      <c r="K10" s="1"/>
      <c r="L10" s="1"/>
      <c r="M10" s="1"/>
      <c r="N10" s="1"/>
    </row>
    <row r="11" spans="1:14" customFormat="1" ht="14.15" customHeight="1" x14ac:dyDescent="0.35">
      <c r="A11" s="32"/>
      <c r="B11" s="13"/>
      <c r="C11" s="80" t="s">
        <v>542</v>
      </c>
      <c r="D11" s="80" t="s">
        <v>542</v>
      </c>
      <c r="E11" s="80" t="s">
        <v>542</v>
      </c>
      <c r="F11" s="1"/>
      <c r="G11" s="80" t="s">
        <v>542</v>
      </c>
      <c r="H11" s="80" t="s">
        <v>542</v>
      </c>
      <c r="I11" s="80" t="s">
        <v>542</v>
      </c>
      <c r="K11" s="1"/>
      <c r="L11" s="1"/>
      <c r="M11" s="1"/>
      <c r="N11" s="1"/>
    </row>
    <row r="12" spans="1:14" customFormat="1" ht="14.15" customHeight="1" x14ac:dyDescent="0.35">
      <c r="A12" s="32"/>
      <c r="B12" s="105" t="s">
        <v>780</v>
      </c>
      <c r="C12" s="41">
        <v>0</v>
      </c>
      <c r="D12" s="41">
        <v>0</v>
      </c>
      <c r="E12" s="50">
        <f>SUM(C12:D12)</f>
        <v>0</v>
      </c>
      <c r="F12" s="105"/>
      <c r="G12" s="41">
        <v>0</v>
      </c>
      <c r="H12" s="41">
        <v>0</v>
      </c>
      <c r="I12" s="50">
        <f>SUM(G12:H12)</f>
        <v>0</v>
      </c>
      <c r="K12" s="1"/>
      <c r="L12" s="1"/>
      <c r="M12" s="1"/>
      <c r="N12" s="1"/>
    </row>
    <row r="13" spans="1:14" customFormat="1" ht="14.15" customHeight="1" x14ac:dyDescent="0.35">
      <c r="A13" s="32"/>
      <c r="B13" s="105" t="s">
        <v>781</v>
      </c>
      <c r="C13" s="41">
        <v>5883</v>
      </c>
      <c r="D13" s="41">
        <v>0</v>
      </c>
      <c r="E13" s="50">
        <f t="shared" ref="E13:E22" si="0">SUM(C13:D13)</f>
        <v>5883</v>
      </c>
      <c r="F13" s="105"/>
      <c r="G13" s="41">
        <v>6449</v>
      </c>
      <c r="H13" s="41">
        <v>0</v>
      </c>
      <c r="I13" s="50">
        <f t="shared" ref="I13:I22" si="1">SUM(G13:H13)</f>
        <v>6449</v>
      </c>
      <c r="K13" s="1"/>
      <c r="L13" s="1"/>
      <c r="M13" s="1"/>
      <c r="N13" s="1"/>
    </row>
    <row r="14" spans="1:14" customFormat="1" ht="14.15" customHeight="1" x14ac:dyDescent="0.35">
      <c r="A14" s="32"/>
      <c r="B14" s="105" t="s">
        <v>782</v>
      </c>
      <c r="C14" s="41">
        <v>3415</v>
      </c>
      <c r="D14" s="41"/>
      <c r="E14" s="50">
        <f t="shared" si="0"/>
        <v>3415</v>
      </c>
      <c r="F14" s="105"/>
      <c r="G14" s="41">
        <v>1967</v>
      </c>
      <c r="H14" s="41"/>
      <c r="I14" s="50">
        <f>SUM(G14:H14)</f>
        <v>1967</v>
      </c>
    </row>
    <row r="15" spans="1:14" customFormat="1" ht="13.75" customHeight="1" x14ac:dyDescent="0.35">
      <c r="A15" s="32"/>
      <c r="B15" s="105" t="s">
        <v>783</v>
      </c>
      <c r="C15" s="41">
        <v>0</v>
      </c>
      <c r="D15" s="41"/>
      <c r="E15" s="50">
        <f t="shared" si="0"/>
        <v>0</v>
      </c>
      <c r="F15" s="105"/>
      <c r="G15" s="41">
        <v>0</v>
      </c>
      <c r="H15" s="41"/>
      <c r="I15" s="50">
        <f t="shared" si="1"/>
        <v>0</v>
      </c>
    </row>
    <row r="16" spans="1:14" customFormat="1" ht="14.15" customHeight="1" thickBot="1" x14ac:dyDescent="0.4">
      <c r="A16" s="32"/>
      <c r="B16" s="112" t="s">
        <v>1403</v>
      </c>
      <c r="C16" s="41"/>
      <c r="D16" s="41">
        <v>0</v>
      </c>
      <c r="E16" s="50">
        <f t="shared" si="0"/>
        <v>0</v>
      </c>
      <c r="F16" s="105"/>
      <c r="G16" s="41"/>
      <c r="H16" s="41">
        <v>0</v>
      </c>
      <c r="I16" s="50">
        <f t="shared" si="1"/>
        <v>0</v>
      </c>
    </row>
    <row r="17" spans="1:15" customFormat="1" ht="14.15" customHeight="1" thickBot="1" x14ac:dyDescent="0.4">
      <c r="A17" s="32"/>
      <c r="B17" s="112" t="s">
        <v>784</v>
      </c>
      <c r="C17" s="41"/>
      <c r="D17" s="41">
        <v>2529</v>
      </c>
      <c r="E17" s="50">
        <f t="shared" si="0"/>
        <v>2529</v>
      </c>
      <c r="F17" s="105"/>
      <c r="G17" s="41"/>
      <c r="H17" s="41">
        <v>2171</v>
      </c>
      <c r="I17" s="50">
        <f t="shared" si="1"/>
        <v>2171</v>
      </c>
      <c r="K17" s="158" t="s">
        <v>1473</v>
      </c>
      <c r="L17" s="169"/>
      <c r="M17" s="169"/>
      <c r="N17" s="169"/>
      <c r="O17" s="170"/>
    </row>
    <row r="18" spans="1:15" customFormat="1" ht="14.15" customHeight="1" x14ac:dyDescent="0.35">
      <c r="A18" s="32"/>
      <c r="B18" s="105" t="s">
        <v>785</v>
      </c>
      <c r="C18" s="41"/>
      <c r="D18" s="41">
        <v>0</v>
      </c>
      <c r="E18" s="50">
        <f t="shared" si="0"/>
        <v>0</v>
      </c>
      <c r="F18" s="105"/>
      <c r="G18" s="41"/>
      <c r="H18" s="41">
        <v>0</v>
      </c>
      <c r="I18" s="50">
        <f t="shared" si="1"/>
        <v>0</v>
      </c>
    </row>
    <row r="19" spans="1:15" customFormat="1" ht="14.15" customHeight="1" x14ac:dyDescent="0.35">
      <c r="A19" s="32"/>
      <c r="B19" s="105" t="s">
        <v>1380</v>
      </c>
      <c r="C19" s="41"/>
      <c r="D19" s="41">
        <v>0</v>
      </c>
      <c r="E19" s="50">
        <f t="shared" si="0"/>
        <v>0</v>
      </c>
      <c r="F19" s="105"/>
      <c r="G19" s="41"/>
      <c r="H19" s="41">
        <v>0</v>
      </c>
      <c r="I19" s="50">
        <f t="shared" si="1"/>
        <v>0</v>
      </c>
    </row>
    <row r="20" spans="1:15" customFormat="1" ht="14.15" customHeight="1" x14ac:dyDescent="0.35">
      <c r="A20" s="32"/>
      <c r="B20" s="105" t="s">
        <v>1363</v>
      </c>
      <c r="C20" s="41"/>
      <c r="D20" s="41">
        <v>0</v>
      </c>
      <c r="E20" s="50">
        <f t="shared" si="0"/>
        <v>0</v>
      </c>
      <c r="F20" s="105"/>
      <c r="G20" s="41"/>
      <c r="H20" s="41">
        <v>0</v>
      </c>
      <c r="I20" s="50">
        <f t="shared" si="1"/>
        <v>0</v>
      </c>
    </row>
    <row r="21" spans="1:15" customFormat="1" ht="14.15" customHeight="1" x14ac:dyDescent="0.35">
      <c r="A21" s="32"/>
      <c r="B21" s="105" t="s">
        <v>786</v>
      </c>
      <c r="C21" s="41"/>
      <c r="D21" s="41">
        <v>0</v>
      </c>
      <c r="E21" s="50">
        <f t="shared" si="0"/>
        <v>0</v>
      </c>
      <c r="F21" s="105"/>
      <c r="G21" s="41"/>
      <c r="H21" s="41">
        <v>0</v>
      </c>
      <c r="I21" s="50">
        <f t="shared" si="1"/>
        <v>0</v>
      </c>
    </row>
    <row r="22" spans="1:15" customFormat="1" ht="14.15" customHeight="1" x14ac:dyDescent="0.35">
      <c r="A22" s="32"/>
      <c r="B22" s="105" t="s">
        <v>754</v>
      </c>
      <c r="C22" s="41">
        <v>2518</v>
      </c>
      <c r="D22" s="41">
        <v>0</v>
      </c>
      <c r="E22" s="50">
        <f t="shared" si="0"/>
        <v>2518</v>
      </c>
      <c r="F22" s="105"/>
      <c r="G22" s="41">
        <v>3047</v>
      </c>
      <c r="H22" s="41">
        <v>0</v>
      </c>
      <c r="I22" s="50">
        <f t="shared" si="1"/>
        <v>3047</v>
      </c>
    </row>
    <row r="23" spans="1:15" customFormat="1" ht="14.15" customHeight="1" thickBot="1" x14ac:dyDescent="0.4">
      <c r="A23" s="32"/>
      <c r="B23" s="93" t="s">
        <v>787</v>
      </c>
      <c r="C23" s="42">
        <f>SUM(C12:C22)</f>
        <v>11816</v>
      </c>
      <c r="D23" s="42">
        <f>SUM(D12:D22)</f>
        <v>2529</v>
      </c>
      <c r="E23" s="42">
        <f>SUM(E12:E22)</f>
        <v>14345</v>
      </c>
      <c r="F23" s="93"/>
      <c r="G23" s="42">
        <f>SUM(G12:G22)</f>
        <v>11463</v>
      </c>
      <c r="H23" s="42">
        <f>SUM(H12:H22)</f>
        <v>2171</v>
      </c>
      <c r="I23" s="42">
        <f>SUM(I12:I22)</f>
        <v>13634</v>
      </c>
    </row>
    <row r="24" spans="1:15" customFormat="1" ht="14.15" customHeight="1" thickTop="1" x14ac:dyDescent="0.35">
      <c r="A24" s="32"/>
      <c r="B24" s="93" t="s">
        <v>771</v>
      </c>
      <c r="C24" s="93"/>
      <c r="D24" s="93"/>
      <c r="E24" s="211"/>
      <c r="F24" s="93"/>
      <c r="G24" s="93"/>
      <c r="H24" s="93"/>
      <c r="I24" s="211"/>
    </row>
    <row r="25" spans="1:15" customFormat="1" ht="14.15" customHeight="1" x14ac:dyDescent="0.35">
      <c r="A25" s="32"/>
      <c r="B25" s="105" t="s">
        <v>772</v>
      </c>
      <c r="C25" s="105"/>
      <c r="D25" s="105"/>
      <c r="E25" s="41">
        <v>14345</v>
      </c>
      <c r="F25" s="105"/>
      <c r="G25" s="105"/>
      <c r="H25" s="105"/>
      <c r="I25" s="41">
        <v>13634</v>
      </c>
    </row>
    <row r="26" spans="1:15" customFormat="1" ht="14.15" customHeight="1" x14ac:dyDescent="0.35">
      <c r="A26" s="32"/>
      <c r="B26" s="105" t="s">
        <v>773</v>
      </c>
      <c r="C26" s="105"/>
      <c r="D26" s="105"/>
      <c r="E26" s="41">
        <v>0</v>
      </c>
      <c r="F26" s="105"/>
      <c r="G26" s="105"/>
      <c r="H26" s="105"/>
      <c r="I26" s="41">
        <v>0</v>
      </c>
    </row>
    <row r="27" spans="1:15" customFormat="1" ht="14.15" customHeight="1" x14ac:dyDescent="0.35">
      <c r="A27" s="32"/>
      <c r="B27" s="105"/>
      <c r="C27" s="105"/>
      <c r="D27" s="105"/>
      <c r="E27" s="41"/>
      <c r="F27" s="105"/>
      <c r="G27" s="105"/>
      <c r="H27" s="105"/>
      <c r="I27" s="41"/>
    </row>
    <row r="28" spans="1:15" customFormat="1" ht="13.75" customHeight="1" x14ac:dyDescent="0.35">
      <c r="A28" s="32"/>
      <c r="B28" s="174" t="s">
        <v>788</v>
      </c>
      <c r="C28" s="45"/>
      <c r="D28" s="45"/>
      <c r="E28" s="41"/>
      <c r="F28" s="41"/>
    </row>
    <row r="29" spans="1:15" customFormat="1" ht="13.75" customHeight="1" x14ac:dyDescent="0.35">
      <c r="A29" s="32"/>
      <c r="B29" s="152" t="s">
        <v>789</v>
      </c>
      <c r="C29" s="41"/>
      <c r="D29" s="41"/>
      <c r="E29" s="41"/>
      <c r="F29" s="41"/>
    </row>
    <row r="30" spans="1:15" customFormat="1" ht="14.15" customHeight="1" x14ac:dyDescent="0.35">
      <c r="A30" s="32"/>
      <c r="B30" s="1"/>
      <c r="C30" s="41"/>
      <c r="D30" s="41"/>
      <c r="E30" s="41"/>
      <c r="F30" s="41"/>
    </row>
  </sheetData>
  <mergeCells count="2">
    <mergeCell ref="C9:E9"/>
    <mergeCell ref="G9:I9"/>
  </mergeCells>
  <pageMargins left="0.7" right="0.7" top="0.75" bottom="0.75" header="0.3" footer="0.3"/>
  <pageSetup paperSize="9"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rgb="FFFF0000"/>
    <pageSetUpPr autoPageBreaks="0"/>
  </sheetPr>
  <dimension ref="A1:W51"/>
  <sheetViews>
    <sheetView workbookViewId="0"/>
  </sheetViews>
  <sheetFormatPr defaultColWidth="9.1796875" defaultRowHeight="14.15" customHeight="1" x14ac:dyDescent="0.25"/>
  <cols>
    <col min="1" max="1" width="1.1796875" style="31" customWidth="1"/>
    <col min="2" max="2" width="62.453125" style="1" customWidth="1"/>
    <col min="3" max="3" width="11.453125" style="1" customWidth="1"/>
    <col min="4" max="4" width="0.81640625" style="1" customWidth="1"/>
    <col min="5" max="5" width="11.453125" style="1" customWidth="1"/>
    <col min="6" max="16384" width="9.1796875" style="1"/>
  </cols>
  <sheetData>
    <row r="1" spans="1:23" ht="14.15" customHeight="1" x14ac:dyDescent="0.35">
      <c r="A1" s="31" t="e">
        <f>ROUNDDOWN('Op leases'!A1,0)+1.1</f>
        <v>#REF!</v>
      </c>
      <c r="B1" s="14" t="e">
        <f>"Note " &amp;A1 &amp;  " Operating expenses "</f>
        <v>#REF!</v>
      </c>
      <c r="C1" s="457"/>
      <c r="D1" s="457"/>
      <c r="E1" s="457"/>
      <c r="J1" s="100"/>
    </row>
    <row r="2" spans="1:23" ht="14.15" customHeight="1" x14ac:dyDescent="0.25">
      <c r="C2" s="80" t="str">
        <f>CurrentFY</f>
        <v>2024/25</v>
      </c>
      <c r="D2" s="80"/>
      <c r="E2" s="80" t="str">
        <f>ComparativeFY</f>
        <v>2023/24</v>
      </c>
    </row>
    <row r="3" spans="1:23" ht="14.15" customHeight="1" x14ac:dyDescent="0.25">
      <c r="C3" s="80" t="s">
        <v>542</v>
      </c>
      <c r="D3" s="80"/>
      <c r="E3" s="80" t="s">
        <v>542</v>
      </c>
    </row>
    <row r="4" spans="1:23" ht="14.15" customHeight="1" x14ac:dyDescent="0.25">
      <c r="B4" s="112" t="s">
        <v>802</v>
      </c>
      <c r="C4" s="41">
        <v>0</v>
      </c>
      <c r="D4" s="41"/>
      <c r="E4" s="41">
        <v>0</v>
      </c>
      <c r="H4" s="183"/>
    </row>
    <row r="5" spans="1:23" ht="14.15" customHeight="1" x14ac:dyDescent="0.25">
      <c r="B5" s="112" t="s">
        <v>803</v>
      </c>
      <c r="C5" s="41">
        <v>4310</v>
      </c>
      <c r="D5" s="41"/>
      <c r="E5" s="41">
        <v>3599</v>
      </c>
      <c r="H5" s="183"/>
    </row>
    <row r="6" spans="1:23" ht="14.15" customHeight="1" x14ac:dyDescent="0.25">
      <c r="B6" s="112" t="s">
        <v>804</v>
      </c>
      <c r="C6" s="41">
        <v>0</v>
      </c>
      <c r="D6" s="41"/>
      <c r="E6" s="41">
        <v>0</v>
      </c>
      <c r="H6" s="183"/>
    </row>
    <row r="7" spans="1:23" ht="14.15" customHeight="1" x14ac:dyDescent="0.25">
      <c r="B7" s="112" t="s">
        <v>805</v>
      </c>
      <c r="C7" s="41">
        <v>404693</v>
      </c>
      <c r="D7" s="41"/>
      <c r="E7" s="41">
        <v>363159</v>
      </c>
      <c r="H7" s="183"/>
    </row>
    <row r="8" spans="1:23" ht="14.15" customHeight="1" thickBot="1" x14ac:dyDescent="0.3">
      <c r="B8" s="112" t="s">
        <v>806</v>
      </c>
      <c r="C8" s="41">
        <v>134</v>
      </c>
      <c r="D8" s="41"/>
      <c r="E8" s="41">
        <v>145</v>
      </c>
      <c r="H8" s="183"/>
    </row>
    <row r="9" spans="1:23" ht="14.15" customHeight="1" thickBot="1" x14ac:dyDescent="0.4">
      <c r="B9" s="112" t="s">
        <v>807</v>
      </c>
      <c r="C9" s="41">
        <v>6874</v>
      </c>
      <c r="D9" s="41"/>
      <c r="E9" s="41">
        <v>6673</v>
      </c>
      <c r="F9" s="17"/>
      <c r="G9" s="158" t="s">
        <v>808</v>
      </c>
      <c r="H9" s="169"/>
      <c r="I9" s="169"/>
      <c r="J9" s="169"/>
      <c r="K9" s="169"/>
      <c r="L9" s="169"/>
      <c r="M9" s="169"/>
      <c r="N9" s="169"/>
      <c r="O9" s="169"/>
      <c r="P9" s="169"/>
      <c r="Q9" s="169"/>
      <c r="R9" s="169"/>
      <c r="S9" s="169"/>
      <c r="T9" s="169"/>
      <c r="U9" s="169"/>
      <c r="V9" s="170"/>
      <c r="W9" s="170"/>
    </row>
    <row r="10" spans="1:23" ht="14.15" customHeight="1" x14ac:dyDescent="0.25">
      <c r="B10" s="112" t="s">
        <v>809</v>
      </c>
      <c r="C10" s="41">
        <v>3755</v>
      </c>
      <c r="D10" s="41"/>
      <c r="E10" s="41">
        <v>3305</v>
      </c>
      <c r="G10" s="181"/>
    </row>
    <row r="11" spans="1:23" ht="14.15" customHeight="1" thickBot="1" x14ac:dyDescent="0.3">
      <c r="B11" s="112" t="s">
        <v>810</v>
      </c>
      <c r="C11" s="41">
        <v>1754</v>
      </c>
      <c r="D11" s="41"/>
      <c r="E11" s="41">
        <v>1972</v>
      </c>
      <c r="G11" s="181"/>
    </row>
    <row r="12" spans="1:23" ht="14.15" customHeight="1" thickBot="1" x14ac:dyDescent="0.4">
      <c r="B12" s="112" t="s">
        <v>811</v>
      </c>
      <c r="C12" s="41">
        <v>0</v>
      </c>
      <c r="D12" s="41"/>
      <c r="E12" s="41">
        <v>0</v>
      </c>
      <c r="G12" s="158" t="s">
        <v>812</v>
      </c>
      <c r="H12" s="169"/>
      <c r="I12" s="169"/>
      <c r="J12" s="169"/>
      <c r="K12" s="169"/>
      <c r="L12" s="169"/>
      <c r="M12" s="169"/>
      <c r="N12" s="169"/>
      <c r="O12" s="169"/>
      <c r="P12" s="170"/>
    </row>
    <row r="13" spans="1:23" ht="14.15" customHeight="1" x14ac:dyDescent="0.25">
      <c r="B13" s="112" t="s">
        <v>813</v>
      </c>
      <c r="C13" s="41">
        <v>146</v>
      </c>
      <c r="D13" s="41"/>
      <c r="E13" s="41">
        <v>0</v>
      </c>
      <c r="F13" s="17"/>
      <c r="H13" s="183"/>
    </row>
    <row r="14" spans="1:23" ht="14.15" customHeight="1" thickBot="1" x14ac:dyDescent="0.3">
      <c r="B14" s="112" t="s">
        <v>1539</v>
      </c>
      <c r="C14" s="41">
        <v>11234</v>
      </c>
      <c r="D14" s="41"/>
      <c r="E14" s="41">
        <v>12822</v>
      </c>
      <c r="F14" s="17"/>
      <c r="H14" s="183"/>
    </row>
    <row r="15" spans="1:23" ht="14.15" customHeight="1" thickBot="1" x14ac:dyDescent="0.3">
      <c r="B15" s="112" t="s">
        <v>814</v>
      </c>
      <c r="C15" s="41">
        <v>22229</v>
      </c>
      <c r="D15" s="41"/>
      <c r="E15" s="41">
        <v>22897</v>
      </c>
      <c r="F15" s="17"/>
      <c r="G15" s="158" t="s">
        <v>1405</v>
      </c>
      <c r="H15" s="202"/>
      <c r="I15" s="162"/>
      <c r="J15" s="162"/>
      <c r="K15" s="162"/>
      <c r="L15" s="162"/>
      <c r="M15" s="162"/>
      <c r="N15" s="162"/>
      <c r="O15" s="162"/>
      <c r="P15" s="163"/>
    </row>
    <row r="16" spans="1:23" ht="14.15" customHeight="1" x14ac:dyDescent="0.25">
      <c r="B16" s="112" t="s">
        <v>815</v>
      </c>
      <c r="C16" s="41">
        <v>56905</v>
      </c>
      <c r="D16" s="41"/>
      <c r="E16" s="41">
        <v>59192</v>
      </c>
      <c r="H16" s="183"/>
    </row>
    <row r="17" spans="2:8" ht="14.15" customHeight="1" x14ac:dyDescent="0.25">
      <c r="B17" s="112" t="s">
        <v>816</v>
      </c>
      <c r="C17" s="41">
        <v>21863</v>
      </c>
      <c r="D17" s="41"/>
      <c r="E17" s="41">
        <v>20975</v>
      </c>
      <c r="H17" s="183"/>
    </row>
    <row r="18" spans="2:8" ht="14.15" customHeight="1" x14ac:dyDescent="0.25">
      <c r="B18" s="112" t="s">
        <v>817</v>
      </c>
      <c r="C18" s="41">
        <v>451</v>
      </c>
      <c r="D18" s="41"/>
      <c r="E18" s="41">
        <v>735</v>
      </c>
      <c r="H18" s="183"/>
    </row>
    <row r="19" spans="2:8" ht="14.15" customHeight="1" x14ac:dyDescent="0.25">
      <c r="B19" s="112" t="s">
        <v>565</v>
      </c>
      <c r="C19" s="41">
        <v>854</v>
      </c>
      <c r="D19" s="41"/>
      <c r="E19" s="41">
        <v>3664</v>
      </c>
      <c r="H19" s="183"/>
    </row>
    <row r="20" spans="2:8" ht="14.15" customHeight="1" x14ac:dyDescent="0.25">
      <c r="B20" s="112" t="s">
        <v>818</v>
      </c>
      <c r="C20" s="41">
        <v>1336</v>
      </c>
      <c r="D20" s="41"/>
      <c r="E20" s="41">
        <v>53</v>
      </c>
      <c r="H20" s="183"/>
    </row>
    <row r="21" spans="2:8" ht="14.15" customHeight="1" x14ac:dyDescent="0.25">
      <c r="B21" s="112" t="s">
        <v>819</v>
      </c>
      <c r="C21" s="41">
        <v>0</v>
      </c>
      <c r="D21" s="41"/>
      <c r="E21" s="41">
        <v>0</v>
      </c>
      <c r="H21" s="183"/>
    </row>
    <row r="22" spans="2:8" ht="14.15" customHeight="1" x14ac:dyDescent="0.25">
      <c r="B22" s="112" t="s">
        <v>820</v>
      </c>
      <c r="C22" s="41">
        <v>0</v>
      </c>
      <c r="D22" s="41"/>
      <c r="E22" s="41">
        <v>0</v>
      </c>
      <c r="F22" s="17"/>
      <c r="H22" s="183"/>
    </row>
    <row r="23" spans="2:8" ht="14.15" customHeight="1" x14ac:dyDescent="0.25">
      <c r="B23" s="112" t="s">
        <v>821</v>
      </c>
      <c r="C23" s="41">
        <v>57</v>
      </c>
      <c r="D23" s="41"/>
      <c r="E23" s="41">
        <v>-388</v>
      </c>
      <c r="H23" s="183"/>
    </row>
    <row r="24" spans="2:8" ht="14.15" customHeight="1" x14ac:dyDescent="0.25">
      <c r="B24" s="112" t="s">
        <v>1303</v>
      </c>
      <c r="C24" s="41"/>
      <c r="D24" s="41"/>
      <c r="E24" s="41"/>
      <c r="H24" s="183"/>
    </row>
    <row r="25" spans="2:8" ht="14.15" customHeight="1" x14ac:dyDescent="0.25">
      <c r="B25" s="205" t="s">
        <v>822</v>
      </c>
      <c r="C25" s="41">
        <v>120</v>
      </c>
      <c r="D25" s="41"/>
      <c r="E25" s="41">
        <v>93</v>
      </c>
      <c r="F25" s="17"/>
      <c r="H25" s="183"/>
    </row>
    <row r="26" spans="2:8" ht="14.15" customHeight="1" x14ac:dyDescent="0.25">
      <c r="B26" s="205" t="s">
        <v>823</v>
      </c>
      <c r="C26" s="41">
        <v>0</v>
      </c>
      <c r="D26" s="41"/>
      <c r="E26" s="41">
        <v>0</v>
      </c>
      <c r="H26" s="183"/>
    </row>
    <row r="27" spans="2:8" ht="14.15" customHeight="1" x14ac:dyDescent="0.25">
      <c r="B27" s="112" t="s">
        <v>824</v>
      </c>
      <c r="C27" s="41">
        <v>107</v>
      </c>
      <c r="D27" s="41"/>
      <c r="E27" s="41">
        <v>99</v>
      </c>
      <c r="H27" s="183"/>
    </row>
    <row r="28" spans="2:8" ht="14.15" customHeight="1" x14ac:dyDescent="0.25">
      <c r="B28" s="112" t="s">
        <v>825</v>
      </c>
      <c r="C28" s="41">
        <v>4193</v>
      </c>
      <c r="D28" s="41"/>
      <c r="E28" s="41">
        <v>3493</v>
      </c>
      <c r="H28" s="183"/>
    </row>
    <row r="29" spans="2:8" ht="14.15" customHeight="1" x14ac:dyDescent="0.25">
      <c r="B29" s="112" t="s">
        <v>826</v>
      </c>
      <c r="C29" s="41">
        <v>281</v>
      </c>
      <c r="D29" s="41"/>
      <c r="E29" s="41">
        <v>618</v>
      </c>
      <c r="F29" s="17"/>
      <c r="H29" s="183"/>
    </row>
    <row r="30" spans="2:8" ht="14.15" customHeight="1" x14ac:dyDescent="0.25">
      <c r="B30" s="112" t="s">
        <v>827</v>
      </c>
      <c r="C30" s="41">
        <v>0</v>
      </c>
      <c r="D30" s="41"/>
      <c r="E30" s="41">
        <v>4</v>
      </c>
      <c r="H30" s="183"/>
    </row>
    <row r="31" spans="2:8" ht="14.15" customHeight="1" x14ac:dyDescent="0.25">
      <c r="B31" s="112" t="s">
        <v>780</v>
      </c>
      <c r="C31" s="41">
        <v>0</v>
      </c>
      <c r="D31" s="41"/>
      <c r="E31" s="41">
        <v>0</v>
      </c>
      <c r="H31" s="183"/>
    </row>
    <row r="32" spans="2:8" ht="14.15" customHeight="1" x14ac:dyDescent="0.25">
      <c r="B32" s="112" t="s">
        <v>781</v>
      </c>
      <c r="C32" s="41">
        <v>10929</v>
      </c>
      <c r="D32" s="41"/>
      <c r="E32" s="41">
        <v>9839</v>
      </c>
      <c r="H32" s="183"/>
    </row>
    <row r="33" spans="2:8" ht="14.15" customHeight="1" x14ac:dyDescent="0.25">
      <c r="B33" s="112" t="s">
        <v>1449</v>
      </c>
      <c r="C33" s="41">
        <v>43</v>
      </c>
      <c r="D33" s="41"/>
      <c r="E33" s="41">
        <v>186</v>
      </c>
      <c r="H33" s="183"/>
    </row>
    <row r="34" spans="2:8" ht="14.15" customHeight="1" x14ac:dyDescent="0.25">
      <c r="B34" s="112" t="s">
        <v>1448</v>
      </c>
      <c r="C34" s="41">
        <v>0</v>
      </c>
      <c r="D34" s="41"/>
      <c r="E34" s="41">
        <v>0</v>
      </c>
      <c r="H34" s="183"/>
    </row>
    <row r="35" spans="2:8" ht="14.15" customHeight="1" x14ac:dyDescent="0.25">
      <c r="B35" s="112" t="s">
        <v>1450</v>
      </c>
      <c r="C35" s="41">
        <v>0</v>
      </c>
      <c r="D35" s="41"/>
      <c r="E35" s="41">
        <v>0</v>
      </c>
      <c r="H35" s="183"/>
    </row>
    <row r="36" spans="2:8" ht="14.15" customHeight="1" x14ac:dyDescent="0.25">
      <c r="B36" s="112" t="s">
        <v>828</v>
      </c>
      <c r="C36" s="41">
        <v>0</v>
      </c>
      <c r="D36" s="41"/>
      <c r="E36" s="41">
        <v>0</v>
      </c>
      <c r="H36" s="183"/>
    </row>
    <row r="37" spans="2:8" ht="14.15" customHeight="1" x14ac:dyDescent="0.25">
      <c r="B37" s="112" t="s">
        <v>829</v>
      </c>
      <c r="C37" s="41">
        <v>0</v>
      </c>
      <c r="D37" s="41"/>
      <c r="E37" s="41">
        <v>0</v>
      </c>
      <c r="H37" s="183"/>
    </row>
    <row r="38" spans="2:8" ht="13.75" customHeight="1" x14ac:dyDescent="0.25">
      <c r="B38" s="112" t="s">
        <v>830</v>
      </c>
      <c r="C38" s="41">
        <v>0</v>
      </c>
      <c r="D38" s="41"/>
      <c r="E38" s="41">
        <v>0</v>
      </c>
      <c r="F38" s="17"/>
      <c r="H38" s="183"/>
    </row>
    <row r="39" spans="2:8" ht="14.15" customHeight="1" x14ac:dyDescent="0.25">
      <c r="B39" s="112" t="s">
        <v>831</v>
      </c>
      <c r="C39" s="41">
        <v>0</v>
      </c>
      <c r="D39" s="41"/>
      <c r="E39" s="41">
        <v>0</v>
      </c>
      <c r="H39" s="183"/>
    </row>
    <row r="40" spans="2:8" ht="14.15" customHeight="1" x14ac:dyDescent="0.25">
      <c r="B40" s="112" t="s">
        <v>832</v>
      </c>
      <c r="C40" s="41">
        <v>0</v>
      </c>
      <c r="D40" s="41"/>
      <c r="E40" s="41">
        <v>0</v>
      </c>
      <c r="H40" s="183"/>
    </row>
    <row r="41" spans="2:8" ht="14.15" customHeight="1" x14ac:dyDescent="0.25">
      <c r="B41" s="112" t="s">
        <v>833</v>
      </c>
      <c r="C41" s="41">
        <v>21</v>
      </c>
      <c r="D41" s="41"/>
      <c r="E41" s="41">
        <v>13</v>
      </c>
      <c r="H41" s="183"/>
    </row>
    <row r="42" spans="2:8" ht="14.15" customHeight="1" x14ac:dyDescent="0.25">
      <c r="B42" s="112" t="s">
        <v>834</v>
      </c>
      <c r="C42" s="41">
        <v>697</v>
      </c>
      <c r="D42" s="41"/>
      <c r="E42" s="41">
        <v>-16</v>
      </c>
      <c r="H42" s="183"/>
    </row>
    <row r="43" spans="2:8" ht="14.15" customHeight="1" x14ac:dyDescent="0.25">
      <c r="B43" s="112" t="s">
        <v>835</v>
      </c>
      <c r="C43" s="41">
        <v>0</v>
      </c>
      <c r="D43" s="41"/>
      <c r="E43" s="41">
        <v>0</v>
      </c>
      <c r="H43" s="183"/>
    </row>
    <row r="44" spans="2:8" ht="14.15" customHeight="1" x14ac:dyDescent="0.25">
      <c r="B44" s="112" t="s">
        <v>836</v>
      </c>
      <c r="C44" s="41">
        <v>0</v>
      </c>
      <c r="D44" s="41"/>
      <c r="E44" s="41">
        <v>0</v>
      </c>
      <c r="H44" s="183"/>
    </row>
    <row r="45" spans="2:8" ht="14.15" customHeight="1" x14ac:dyDescent="0.25">
      <c r="B45" s="112" t="s">
        <v>837</v>
      </c>
      <c r="C45" s="41">
        <v>1</v>
      </c>
      <c r="D45" s="41"/>
      <c r="E45" s="41">
        <v>134</v>
      </c>
      <c r="H45" s="183"/>
    </row>
    <row r="46" spans="2:8" ht="14.15" customHeight="1" thickBot="1" x14ac:dyDescent="0.3">
      <c r="B46" s="93" t="s">
        <v>541</v>
      </c>
      <c r="C46" s="42">
        <f>SUM(C4:C45)</f>
        <v>552987</v>
      </c>
      <c r="D46" s="41"/>
      <c r="E46" s="42">
        <f>SUM(E4:E45)</f>
        <v>513266</v>
      </c>
      <c r="H46" s="183"/>
    </row>
    <row r="47" spans="2:8" ht="14.15" customHeight="1" thickTop="1" x14ac:dyDescent="0.25">
      <c r="B47" s="93" t="s">
        <v>771</v>
      </c>
      <c r="C47" s="117"/>
      <c r="D47" s="215"/>
      <c r="E47" s="117"/>
    </row>
    <row r="48" spans="2:8" ht="14.15" customHeight="1" x14ac:dyDescent="0.25">
      <c r="B48" s="105" t="s">
        <v>772</v>
      </c>
      <c r="C48" s="41">
        <v>552987</v>
      </c>
      <c r="D48" s="41"/>
      <c r="E48" s="41">
        <v>513266</v>
      </c>
    </row>
    <row r="49" spans="2:5" ht="14.15" customHeight="1" x14ac:dyDescent="0.25">
      <c r="B49" s="105" t="s">
        <v>773</v>
      </c>
      <c r="C49" s="41">
        <v>0</v>
      </c>
      <c r="D49" s="41"/>
      <c r="E49" s="41">
        <v>0</v>
      </c>
    </row>
    <row r="50" spans="2:5" ht="23.15" customHeight="1" x14ac:dyDescent="0.25">
      <c r="B50" s="480" t="s">
        <v>838</v>
      </c>
      <c r="C50" s="480"/>
      <c r="D50" s="480"/>
      <c r="E50" s="480"/>
    </row>
    <row r="51" spans="2:5" ht="14.15" customHeight="1" x14ac:dyDescent="0.25">
      <c r="C51" s="23"/>
      <c r="D51" s="34"/>
      <c r="E51" s="23"/>
    </row>
  </sheetData>
  <customSheetViews>
    <customSheetView guid="{EDC1BD6E-863A-4FC6-A3A9-F32079F4F0C1}">
      <selection activeCell="H23" sqref="H23"/>
      <pageMargins left="0" right="0" top="0" bottom="0" header="0" footer="0"/>
      <pageSetup paperSize="9" orientation="portrait" verticalDpi="0" r:id="rId1"/>
    </customSheetView>
  </customSheetViews>
  <mergeCells count="2">
    <mergeCell ref="C1:E1"/>
    <mergeCell ref="B50:E50"/>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autoPageBreaks="0"/>
  </sheetPr>
  <dimension ref="B1:K55"/>
  <sheetViews>
    <sheetView topLeftCell="A5" workbookViewId="0">
      <selection activeCell="H54" sqref="H54"/>
    </sheetView>
  </sheetViews>
  <sheetFormatPr defaultColWidth="9.1796875" defaultRowHeight="11.5" x14ac:dyDescent="0.25"/>
  <cols>
    <col min="1" max="1" width="1" style="2" customWidth="1"/>
    <col min="2" max="2" width="24" style="2" customWidth="1"/>
    <col min="3" max="3" width="28.1796875" style="2" customWidth="1"/>
    <col min="4" max="4" width="6.26953125" style="83" customWidth="1"/>
    <col min="5" max="5" width="11.26953125" style="2" customWidth="1"/>
    <col min="6" max="6" width="0.81640625" style="41" customWidth="1"/>
    <col min="7" max="7" width="11.26953125" style="2" customWidth="1"/>
    <col min="8" max="16384" width="9.1796875" style="2"/>
  </cols>
  <sheetData>
    <row r="1" spans="2:7" ht="17.5" customHeight="1" x14ac:dyDescent="0.35">
      <c r="B1" s="114" t="s">
        <v>503</v>
      </c>
      <c r="C1" s="114"/>
      <c r="E1" s="429"/>
      <c r="F1" s="429"/>
      <c r="G1" s="429"/>
    </row>
    <row r="2" spans="2:7" ht="23" x14ac:dyDescent="0.25">
      <c r="B2" s="14"/>
      <c r="C2" s="14"/>
      <c r="D2" s="8"/>
      <c r="E2" s="85" t="str">
        <f>TEXT(CurrentYearEnd, "d mmmm yyyy")</f>
        <v>31 March 2025</v>
      </c>
      <c r="F2" s="109"/>
      <c r="G2" s="80" t="str">
        <f>TEXT(ComparativeYearEnd, "d mmmm yyyy")</f>
        <v>31 March 2024</v>
      </c>
    </row>
    <row r="3" spans="2:7" ht="14.15" customHeight="1" x14ac:dyDescent="0.25">
      <c r="B3" s="14"/>
      <c r="C3" s="14"/>
      <c r="D3" s="89" t="s">
        <v>461</v>
      </c>
      <c r="E3" s="80" t="s">
        <v>462</v>
      </c>
      <c r="G3" s="80" t="s">
        <v>462</v>
      </c>
    </row>
    <row r="4" spans="2:7" ht="11.25" customHeight="1" x14ac:dyDescent="0.25">
      <c r="B4" s="93" t="s">
        <v>504</v>
      </c>
      <c r="C4" s="93"/>
      <c r="D4" s="8"/>
      <c r="E4" s="18"/>
      <c r="G4" s="18"/>
    </row>
    <row r="5" spans="2:7" ht="14.15" customHeight="1" x14ac:dyDescent="0.25">
      <c r="B5" s="112" t="s">
        <v>505</v>
      </c>
      <c r="C5" s="112"/>
      <c r="D5" s="91">
        <v>13</v>
      </c>
      <c r="E5" s="41">
        <v>998.25699999999961</v>
      </c>
      <c r="G5" s="41">
        <v>1450</v>
      </c>
    </row>
    <row r="6" spans="2:7" ht="14.15" customHeight="1" x14ac:dyDescent="0.25">
      <c r="B6" s="112" t="s">
        <v>506</v>
      </c>
      <c r="C6" s="112"/>
      <c r="D6" s="91">
        <f>ROUNDDOWN('14 PPE1'!A1,0)</f>
        <v>14</v>
      </c>
      <c r="E6" s="41">
        <v>116334.007</v>
      </c>
      <c r="G6" s="41">
        <v>109536.00700000001</v>
      </c>
    </row>
    <row r="7" spans="2:7" ht="14.15" customHeight="1" x14ac:dyDescent="0.25">
      <c r="B7" s="112" t="s">
        <v>1319</v>
      </c>
      <c r="C7" s="112"/>
      <c r="D7" s="91">
        <v>15</v>
      </c>
      <c r="E7" s="41">
        <v>23242</v>
      </c>
      <c r="G7" s="41">
        <v>21123</v>
      </c>
    </row>
    <row r="8" spans="2:7" s="220" customFormat="1" ht="14.15" hidden="1" customHeight="1" x14ac:dyDescent="0.25">
      <c r="B8" s="224" t="s">
        <v>1362</v>
      </c>
      <c r="C8" s="224"/>
      <c r="D8" s="83">
        <f>ROUNDDOWN('Inv Prop'!A1,0)</f>
        <v>16</v>
      </c>
      <c r="E8" s="218">
        <v>0</v>
      </c>
      <c r="F8" s="218"/>
      <c r="G8" s="218">
        <v>0</v>
      </c>
    </row>
    <row r="9" spans="2:7" s="220" customFormat="1" ht="14.15" hidden="1" customHeight="1" x14ac:dyDescent="0.25">
      <c r="B9" s="224" t="s">
        <v>507</v>
      </c>
      <c r="C9" s="224"/>
      <c r="D9" s="91">
        <f>ROUNDDOWN('Inv in assoc &amp; JVs, other inv'!A1,0)</f>
        <v>17</v>
      </c>
      <c r="E9" s="218">
        <v>0</v>
      </c>
      <c r="F9" s="218"/>
      <c r="G9" s="218">
        <v>0</v>
      </c>
    </row>
    <row r="10" spans="2:7" s="220" customFormat="1" ht="14.15" hidden="1" customHeight="1" x14ac:dyDescent="0.25">
      <c r="B10" s="224" t="s">
        <v>508</v>
      </c>
      <c r="C10" s="224"/>
      <c r="D10" s="91">
        <f>ROUNDDOWN('Inv in assoc &amp; JVs, other inv'!A20,0)</f>
        <v>18</v>
      </c>
      <c r="E10" s="218">
        <v>0</v>
      </c>
      <c r="F10" s="218"/>
      <c r="G10" s="218">
        <v>0</v>
      </c>
    </row>
    <row r="11" spans="2:7" ht="14.15" customHeight="1" x14ac:dyDescent="0.25">
      <c r="B11" s="112" t="s">
        <v>509</v>
      </c>
      <c r="C11" s="112"/>
      <c r="D11" s="91">
        <f>ROUNDDOWN(Receivables!A1,0)</f>
        <v>18</v>
      </c>
      <c r="E11" s="41">
        <v>1055</v>
      </c>
      <c r="G11" s="41">
        <v>1025</v>
      </c>
    </row>
    <row r="12" spans="2:7" s="220" customFormat="1" ht="14.15" hidden="1" customHeight="1" x14ac:dyDescent="0.25">
      <c r="B12" s="224" t="s">
        <v>510</v>
      </c>
      <c r="C12" s="224"/>
      <c r="D12" s="91">
        <f>ROUNDDOWN('21-23 AHFS&amp;Cr'!A1,0)</f>
        <v>20</v>
      </c>
      <c r="E12" s="218">
        <v>0</v>
      </c>
      <c r="F12" s="218"/>
      <c r="G12" s="218">
        <v>0</v>
      </c>
    </row>
    <row r="13" spans="2:7" ht="14.15" customHeight="1" x14ac:dyDescent="0.25">
      <c r="B13" s="93" t="s">
        <v>511</v>
      </c>
      <c r="C13" s="93"/>
      <c r="D13" s="91"/>
      <c r="E13" s="43">
        <f>SUM(E5:E12)</f>
        <v>141629.264</v>
      </c>
      <c r="G13" s="43">
        <f>SUM(G5:G12)</f>
        <v>133134.00700000001</v>
      </c>
    </row>
    <row r="14" spans="2:7" ht="14.15" customHeight="1" x14ac:dyDescent="0.25">
      <c r="B14" s="93" t="s">
        <v>512</v>
      </c>
      <c r="C14" s="93"/>
      <c r="D14" s="91"/>
      <c r="E14" s="19"/>
      <c r="G14" s="19"/>
    </row>
    <row r="15" spans="2:7" ht="14.15" customHeight="1" x14ac:dyDescent="0.25">
      <c r="B15" s="112" t="s">
        <v>513</v>
      </c>
      <c r="C15" s="112"/>
      <c r="D15" s="91">
        <f>ROUNDDOWN('17-20 Ints&amp;InvCr'!A5,0)</f>
        <v>17</v>
      </c>
      <c r="E15" s="41">
        <v>742</v>
      </c>
      <c r="G15" s="41">
        <v>884</v>
      </c>
    </row>
    <row r="16" spans="2:7" ht="14.15" customHeight="1" x14ac:dyDescent="0.25">
      <c r="B16" s="112" t="s">
        <v>509</v>
      </c>
      <c r="C16" s="112"/>
      <c r="D16" s="91">
        <f>ROUNDDOWN(Receivables!A1,0)</f>
        <v>18</v>
      </c>
      <c r="E16" s="41">
        <v>6531</v>
      </c>
      <c r="G16" s="41">
        <v>6141</v>
      </c>
    </row>
    <row r="17" spans="2:9" s="220" customFormat="1" ht="14.15" hidden="1" customHeight="1" x14ac:dyDescent="0.25">
      <c r="B17" s="224" t="s">
        <v>508</v>
      </c>
      <c r="C17" s="224"/>
      <c r="D17" s="91">
        <f>ROUNDDOWN('Inv in assoc &amp; JVs, other inv'!A20,0)</f>
        <v>18</v>
      </c>
      <c r="E17" s="218">
        <v>0</v>
      </c>
      <c r="F17" s="218"/>
      <c r="G17" s="218">
        <v>0</v>
      </c>
    </row>
    <row r="18" spans="2:9" s="220" customFormat="1" ht="14.15" hidden="1" customHeight="1" x14ac:dyDescent="0.25">
      <c r="B18" s="224" t="s">
        <v>514</v>
      </c>
      <c r="C18" s="224"/>
      <c r="D18" s="91">
        <f>ROUNDDOWN('21-23 AHFS&amp;Cr'!A1,0)</f>
        <v>20</v>
      </c>
      <c r="E18" s="218">
        <v>0</v>
      </c>
      <c r="F18" s="218"/>
      <c r="G18" s="218">
        <v>0</v>
      </c>
    </row>
    <row r="19" spans="2:9" ht="13.75" customHeight="1" x14ac:dyDescent="0.25">
      <c r="B19" s="112" t="s">
        <v>515</v>
      </c>
      <c r="C19" s="112"/>
      <c r="D19" s="91">
        <f>'21-23 AHFS&amp;Cr'!A12</f>
        <v>21</v>
      </c>
      <c r="E19" s="41">
        <v>1161.1590000000001</v>
      </c>
      <c r="G19" s="41">
        <v>1126.1590000000001</v>
      </c>
    </row>
    <row r="20" spans="2:9" ht="14.15" customHeight="1" x14ac:dyDescent="0.25">
      <c r="B20" s="112" t="s">
        <v>516</v>
      </c>
      <c r="C20" s="112"/>
      <c r="D20" s="91">
        <f>ROUNDDOWN(CCE!A1,0)</f>
        <v>22</v>
      </c>
      <c r="E20" s="41">
        <v>59112</v>
      </c>
      <c r="G20" s="41">
        <v>61030</v>
      </c>
    </row>
    <row r="21" spans="2:9" ht="14.15" customHeight="1" x14ac:dyDescent="0.25">
      <c r="B21" s="93" t="s">
        <v>517</v>
      </c>
      <c r="C21" s="93"/>
      <c r="D21" s="91"/>
      <c r="E21" s="43">
        <f>SUM(E15:E20)</f>
        <v>67546.159</v>
      </c>
      <c r="G21" s="43">
        <f>SUM(G15:G20)</f>
        <v>69181.159</v>
      </c>
    </row>
    <row r="22" spans="2:9" ht="14.15" customHeight="1" x14ac:dyDescent="0.25">
      <c r="B22" s="93" t="s">
        <v>518</v>
      </c>
      <c r="C22" s="93"/>
      <c r="D22" s="91"/>
      <c r="E22" s="19"/>
      <c r="G22" s="19"/>
    </row>
    <row r="23" spans="2:9" ht="14.15" customHeight="1" x14ac:dyDescent="0.25">
      <c r="B23" s="112" t="s">
        <v>519</v>
      </c>
      <c r="C23" s="112"/>
      <c r="D23" s="91">
        <f>ROUNDDOWN('24-25 Crs&amp;FAL'!A1,0)</f>
        <v>23</v>
      </c>
      <c r="E23" s="41">
        <v>-45897</v>
      </c>
      <c r="G23" s="41">
        <v>-51090</v>
      </c>
    </row>
    <row r="24" spans="2:9" ht="14.15" customHeight="1" x14ac:dyDescent="0.25">
      <c r="B24" s="112" t="s">
        <v>520</v>
      </c>
      <c r="C24" s="112"/>
      <c r="D24" s="91">
        <v>25.1</v>
      </c>
      <c r="E24" s="41">
        <v>-4515</v>
      </c>
      <c r="G24" s="41">
        <v>-3318.8360000000002</v>
      </c>
    </row>
    <row r="25" spans="2:9" s="220" customFormat="1" ht="14.15" hidden="1" customHeight="1" x14ac:dyDescent="0.25">
      <c r="B25" s="224" t="s">
        <v>521</v>
      </c>
      <c r="C25" s="224"/>
      <c r="D25" s="91">
        <f>ROUNDDOWN(Borrowings!A45,0)</f>
        <v>26</v>
      </c>
      <c r="E25" s="218">
        <v>0</v>
      </c>
      <c r="F25" s="218"/>
      <c r="G25" s="218">
        <v>0</v>
      </c>
    </row>
    <row r="26" spans="2:9" ht="13.75" customHeight="1" x14ac:dyDescent="0.25">
      <c r="B26" s="112" t="s">
        <v>522</v>
      </c>
      <c r="C26" s="112"/>
      <c r="D26" s="91">
        <f>ROUNDDOWN('26-30 Provisions'!A1,0)</f>
        <v>26</v>
      </c>
      <c r="E26" s="41">
        <v>-11181</v>
      </c>
      <c r="G26" s="41">
        <v>-8459</v>
      </c>
    </row>
    <row r="27" spans="2:9" ht="14.15" customHeight="1" x14ac:dyDescent="0.25">
      <c r="B27" s="112" t="s">
        <v>523</v>
      </c>
      <c r="C27" s="112"/>
      <c r="D27" s="91">
        <f>ROUNDDOWN('OL &amp; Borrowings'!A1,0)</f>
        <v>24</v>
      </c>
      <c r="E27" s="41">
        <v>-2222</v>
      </c>
      <c r="G27" s="41">
        <v>-2844</v>
      </c>
    </row>
    <row r="28" spans="2:9" s="220" customFormat="1" ht="14.15" hidden="1" customHeight="1" x14ac:dyDescent="0.25">
      <c r="B28" s="224" t="s">
        <v>524</v>
      </c>
      <c r="C28" s="224"/>
      <c r="D28" s="91">
        <f>'21-23 AHFS&amp;Cr'!A30</f>
        <v>21.1</v>
      </c>
      <c r="E28" s="218">
        <v>0</v>
      </c>
      <c r="F28" s="218"/>
      <c r="G28" s="218">
        <v>0</v>
      </c>
    </row>
    <row r="29" spans="2:9" ht="14.15" customHeight="1" x14ac:dyDescent="0.25">
      <c r="B29" s="93" t="s">
        <v>525</v>
      </c>
      <c r="C29" s="93"/>
      <c r="D29" s="91"/>
      <c r="E29" s="43">
        <f>SUM(E23:E28)</f>
        <v>-63815</v>
      </c>
      <c r="G29" s="43">
        <f>SUM(G23:G28)</f>
        <v>-65711.83600000001</v>
      </c>
      <c r="H29" s="5"/>
      <c r="I29" s="5"/>
    </row>
    <row r="30" spans="2:9" ht="14.15" customHeight="1" x14ac:dyDescent="0.25">
      <c r="B30" s="93" t="s">
        <v>526</v>
      </c>
      <c r="C30" s="93"/>
      <c r="D30" s="91"/>
      <c r="E30" s="43">
        <f>E21+E13+E29</f>
        <v>145360.42300000001</v>
      </c>
      <c r="G30" s="43">
        <f>G21+G13+G29</f>
        <v>136603.33000000002</v>
      </c>
      <c r="H30" s="5"/>
      <c r="I30" s="5"/>
    </row>
    <row r="31" spans="2:9" ht="14.15" customHeight="1" x14ac:dyDescent="0.25">
      <c r="B31" s="93" t="s">
        <v>527</v>
      </c>
      <c r="C31" s="93"/>
      <c r="D31" s="91"/>
      <c r="E31" s="20"/>
      <c r="G31" s="20"/>
      <c r="H31" s="5"/>
      <c r="I31" s="5"/>
    </row>
    <row r="32" spans="2:9" s="220" customFormat="1" ht="14.15" hidden="1" customHeight="1" x14ac:dyDescent="0.25">
      <c r="B32" s="224" t="s">
        <v>519</v>
      </c>
      <c r="C32" s="224"/>
      <c r="D32" s="91">
        <f>ROUNDDOWN('24-25 Crs&amp;FAL'!A1,0)</f>
        <v>23</v>
      </c>
      <c r="E32" s="218">
        <v>0</v>
      </c>
      <c r="F32" s="218"/>
      <c r="G32" s="218">
        <v>0</v>
      </c>
    </row>
    <row r="33" spans="2:11" ht="14.15" customHeight="1" x14ac:dyDescent="0.25">
      <c r="B33" s="112" t="s">
        <v>520</v>
      </c>
      <c r="C33" s="112"/>
      <c r="D33" s="91">
        <v>25.1</v>
      </c>
      <c r="E33" s="41">
        <v>-17326</v>
      </c>
      <c r="G33" s="41">
        <v>-15896.255999999999</v>
      </c>
    </row>
    <row r="34" spans="2:11" s="220" customFormat="1" ht="14.15" hidden="1" customHeight="1" x14ac:dyDescent="0.25">
      <c r="B34" s="224" t="s">
        <v>521</v>
      </c>
      <c r="C34" s="224"/>
      <c r="D34" s="91">
        <f>ROUNDDOWN(Borrowings!A45,0)</f>
        <v>26</v>
      </c>
      <c r="E34" s="218">
        <v>0</v>
      </c>
      <c r="F34" s="218"/>
      <c r="G34" s="218">
        <v>0</v>
      </c>
    </row>
    <row r="35" spans="2:11" ht="14.15" customHeight="1" x14ac:dyDescent="0.25">
      <c r="B35" s="112" t="s">
        <v>522</v>
      </c>
      <c r="C35" s="112"/>
      <c r="D35" s="91">
        <f>ROUNDDOWN('26-30 Provisions'!A1,0)</f>
        <v>26</v>
      </c>
      <c r="E35" s="41">
        <v>-13858</v>
      </c>
      <c r="G35" s="41">
        <v>-13786</v>
      </c>
    </row>
    <row r="36" spans="2:11" s="220" customFormat="1" ht="14.15" hidden="1" customHeight="1" x14ac:dyDescent="0.25">
      <c r="B36" s="224" t="s">
        <v>523</v>
      </c>
      <c r="C36" s="224"/>
      <c r="D36" s="91">
        <f>ROUNDDOWN('OL &amp; Borrowings'!A1,0)</f>
        <v>24</v>
      </c>
      <c r="E36" s="218">
        <v>0</v>
      </c>
      <c r="F36" s="218"/>
      <c r="G36" s="218">
        <v>0</v>
      </c>
    </row>
    <row r="37" spans="2:11" ht="14.15" customHeight="1" x14ac:dyDescent="0.25">
      <c r="B37" s="93" t="s">
        <v>528</v>
      </c>
      <c r="C37" s="93"/>
      <c r="D37" s="91"/>
      <c r="E37" s="43">
        <f>SUM(E32:E36)</f>
        <v>-31184</v>
      </c>
      <c r="G37" s="43">
        <f>SUM(G32:G36)</f>
        <v>-29682.256000000001</v>
      </c>
      <c r="H37" s="5"/>
      <c r="I37" s="5"/>
      <c r="J37" s="5"/>
      <c r="K37" s="5"/>
    </row>
    <row r="38" spans="2:11" ht="14.15" customHeight="1" thickBot="1" x14ac:dyDescent="0.3">
      <c r="B38" s="93" t="s">
        <v>529</v>
      </c>
      <c r="C38" s="93"/>
      <c r="D38" s="91"/>
      <c r="E38" s="42">
        <f>E30+E37</f>
        <v>114176.42300000001</v>
      </c>
      <c r="G38" s="42">
        <f>G30+G37</f>
        <v>106921.07400000002</v>
      </c>
      <c r="H38" s="5"/>
      <c r="I38" s="5"/>
      <c r="J38" s="5"/>
      <c r="K38" s="5"/>
    </row>
    <row r="39" spans="2:11" ht="4.75" customHeight="1" thickTop="1" x14ac:dyDescent="0.25">
      <c r="B39" s="93"/>
      <c r="C39" s="93"/>
      <c r="D39" s="91"/>
      <c r="E39" s="20"/>
      <c r="G39" s="20"/>
      <c r="H39" s="5"/>
      <c r="I39" s="5"/>
      <c r="J39" s="5"/>
      <c r="K39" s="5"/>
    </row>
    <row r="40" spans="2:11" ht="14.15" customHeight="1" x14ac:dyDescent="0.25">
      <c r="B40" s="93" t="s">
        <v>530</v>
      </c>
      <c r="C40" s="93"/>
      <c r="D40" s="374"/>
      <c r="E40" s="20"/>
      <c r="G40" s="20"/>
      <c r="H40" s="5"/>
      <c r="I40" s="5"/>
      <c r="J40" s="5"/>
      <c r="K40" s="5"/>
    </row>
    <row r="41" spans="2:11" ht="14.15" customHeight="1" x14ac:dyDescent="0.25">
      <c r="B41" s="112" t="s">
        <v>531</v>
      </c>
      <c r="C41" s="112"/>
      <c r="D41" s="84"/>
      <c r="E41" s="41">
        <v>112307</v>
      </c>
      <c r="G41" s="41">
        <v>112091</v>
      </c>
    </row>
    <row r="42" spans="2:11" ht="14.15" customHeight="1" x14ac:dyDescent="0.25">
      <c r="B42" s="112" t="s">
        <v>532</v>
      </c>
      <c r="C42" s="112"/>
      <c r="D42" s="84"/>
      <c r="E42" s="41">
        <v>6635.4480000000003</v>
      </c>
      <c r="G42" s="41">
        <v>5572.4480000000003</v>
      </c>
    </row>
    <row r="43" spans="2:11" s="220" customFormat="1" ht="13.75" hidden="1" customHeight="1" x14ac:dyDescent="0.25">
      <c r="B43" s="224" t="s">
        <v>533</v>
      </c>
      <c r="C43" s="224"/>
      <c r="D43" s="84"/>
      <c r="E43" s="218">
        <v>0</v>
      </c>
      <c r="F43" s="218"/>
      <c r="G43" s="218">
        <v>0</v>
      </c>
    </row>
    <row r="44" spans="2:11" s="220" customFormat="1" ht="14.15" hidden="1" customHeight="1" x14ac:dyDescent="0.25">
      <c r="B44" s="224" t="s">
        <v>534</v>
      </c>
      <c r="C44" s="224"/>
      <c r="D44" s="84"/>
      <c r="E44" s="218">
        <v>0</v>
      </c>
      <c r="F44" s="218"/>
      <c r="G44" s="218">
        <v>0</v>
      </c>
    </row>
    <row r="45" spans="2:11" s="220" customFormat="1" ht="14.15" hidden="1" customHeight="1" x14ac:dyDescent="0.25">
      <c r="B45" s="224" t="s">
        <v>535</v>
      </c>
      <c r="C45" s="224"/>
      <c r="D45" s="84"/>
      <c r="E45" s="218">
        <v>0</v>
      </c>
      <c r="F45" s="218"/>
      <c r="G45" s="218">
        <v>0</v>
      </c>
    </row>
    <row r="46" spans="2:11" ht="14.15" customHeight="1" x14ac:dyDescent="0.25">
      <c r="B46" s="112" t="s">
        <v>536</v>
      </c>
      <c r="C46" s="112"/>
      <c r="D46" s="375"/>
      <c r="E46" s="41">
        <v>-4765.9850000000006</v>
      </c>
      <c r="G46" s="41">
        <v>-10741.985000000001</v>
      </c>
    </row>
    <row r="47" spans="2:11" ht="14.15" customHeight="1" thickBot="1" x14ac:dyDescent="0.3">
      <c r="B47" s="93" t="s">
        <v>537</v>
      </c>
      <c r="C47" s="93"/>
      <c r="D47" s="376"/>
      <c r="E47" s="42">
        <f>SUM(E41:E46)</f>
        <v>114176.463</v>
      </c>
      <c r="G47" s="42">
        <f>SUM(G41:G46)</f>
        <v>106921.463</v>
      </c>
    </row>
    <row r="48" spans="2:11" ht="6.75" customHeight="1" thickTop="1" x14ac:dyDescent="0.25">
      <c r="B48" s="10"/>
      <c r="C48" s="10"/>
      <c r="D48" s="375"/>
    </row>
    <row r="49" spans="2:4" x14ac:dyDescent="0.25">
      <c r="B49" s="100" t="s">
        <v>1784</v>
      </c>
      <c r="C49" s="100"/>
      <c r="D49" s="375"/>
    </row>
    <row r="50" spans="2:4" ht="10.9" customHeight="1" x14ac:dyDescent="0.25">
      <c r="B50" s="1"/>
      <c r="C50" s="1"/>
      <c r="D50" s="84"/>
    </row>
    <row r="51" spans="2:4" ht="10.15" customHeight="1" x14ac:dyDescent="0.25">
      <c r="B51" s="1"/>
      <c r="C51" s="1"/>
      <c r="D51" s="84"/>
    </row>
    <row r="52" spans="2:4" x14ac:dyDescent="0.25">
      <c r="B52" s="1" t="s">
        <v>538</v>
      </c>
      <c r="C52" s="91" t="s">
        <v>1626</v>
      </c>
    </row>
    <row r="53" spans="2:4" x14ac:dyDescent="0.25">
      <c r="B53" s="1" t="s">
        <v>539</v>
      </c>
      <c r="C53" s="91" t="s">
        <v>1627</v>
      </c>
    </row>
    <row r="54" spans="2:4" x14ac:dyDescent="0.25">
      <c r="B54" s="1" t="s">
        <v>459</v>
      </c>
      <c r="C54" s="225">
        <v>45826</v>
      </c>
    </row>
    <row r="55" spans="2:4" x14ac:dyDescent="0.25">
      <c r="B55" s="1"/>
      <c r="C55" s="1"/>
    </row>
  </sheetData>
  <customSheetViews>
    <customSheetView guid="{EDC1BD6E-863A-4FC6-A3A9-F32079F4F0C1}" fitToPage="1" topLeftCell="A16">
      <selection activeCell="L29" sqref="L29"/>
      <pageMargins left="0" right="0" top="0" bottom="0" header="0" footer="0"/>
      <pageSetup paperSize="9" scale="95" orientation="portrait" r:id="rId1"/>
      <headerFooter>
        <oddHeader>&amp;LINSERT YOUR NHS Foundation Trust&amp;RStatement of accounts 2014/15</oddHeader>
      </headerFooter>
    </customSheetView>
  </customSheetViews>
  <mergeCells count="1">
    <mergeCell ref="E1:G1"/>
  </mergeCells>
  <pageMargins left="0.59055118110236227" right="0.59055118110236227" top="0.59055118110236227" bottom="0.59055118110236227" header="0" footer="0"/>
  <pageSetup paperSize="9" orientation="portrait" r:id="rId2"/>
  <headerFooter>
    <oddFooter>Page &amp;P</oddFooter>
  </headerFooter>
  <drawing r:id="rId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FF0000"/>
  </sheetPr>
  <dimension ref="A1:M34"/>
  <sheetViews>
    <sheetView workbookViewId="0"/>
  </sheetViews>
  <sheetFormatPr defaultColWidth="9.1796875" defaultRowHeight="14.15" customHeight="1" x14ac:dyDescent="0.25"/>
  <cols>
    <col min="1" max="1" width="1.1796875" style="31" customWidth="1"/>
    <col min="2" max="2" width="62.1796875" style="1" customWidth="1"/>
    <col min="3" max="3" width="11.453125" style="1" customWidth="1"/>
    <col min="4" max="4" width="1.1796875" style="1" customWidth="1"/>
    <col min="5" max="5" width="11.453125" style="1" customWidth="1"/>
    <col min="6" max="6" width="1" style="1" customWidth="1"/>
    <col min="7" max="7" width="9.81640625" style="1" customWidth="1"/>
    <col min="8" max="8" width="1.1796875" style="1" customWidth="1"/>
    <col min="9" max="9" width="9.81640625" style="1" customWidth="1"/>
    <col min="10" max="16384" width="9.1796875" style="1"/>
  </cols>
  <sheetData>
    <row r="1" spans="1:13" ht="14.15" customHeight="1" x14ac:dyDescent="0.35">
      <c r="A1" s="31">
        <f>ROUNDDOWN('7-8 Impair&amp;Pay'!A21,0)+1</f>
        <v>8</v>
      </c>
      <c r="B1" s="14" t="str">
        <f>"Note "&amp; A1 &amp;" Employee benefits "</f>
        <v xml:space="preserve">Note 8 Employee benefits </v>
      </c>
      <c r="C1" s="457"/>
      <c r="D1" s="457"/>
      <c r="E1" s="457"/>
      <c r="K1" s="100"/>
    </row>
    <row r="2" spans="1:13" ht="14.15" customHeight="1" x14ac:dyDescent="0.25">
      <c r="C2" s="80" t="str">
        <f>CurrentFY</f>
        <v>2024/25</v>
      </c>
      <c r="D2" s="80"/>
      <c r="E2" s="80" t="str">
        <f>ComparativeFY</f>
        <v>2023/24</v>
      </c>
      <c r="F2" s="80"/>
      <c r="G2" s="94"/>
      <c r="H2" s="94"/>
      <c r="I2" s="94"/>
      <c r="J2" s="94"/>
      <c r="M2" s="17"/>
    </row>
    <row r="3" spans="1:13" ht="14.15" customHeight="1" x14ac:dyDescent="0.25">
      <c r="C3" s="80" t="s">
        <v>541</v>
      </c>
      <c r="D3" s="80"/>
      <c r="E3" s="80" t="s">
        <v>541</v>
      </c>
      <c r="F3" s="80"/>
      <c r="G3" s="94"/>
      <c r="H3" s="94"/>
      <c r="I3" s="94"/>
      <c r="J3" s="80"/>
    </row>
    <row r="4" spans="1:13" ht="14.15" customHeight="1" x14ac:dyDescent="0.25">
      <c r="C4" s="80" t="s">
        <v>542</v>
      </c>
      <c r="D4" s="80"/>
      <c r="E4" s="80" t="s">
        <v>542</v>
      </c>
      <c r="F4" s="80"/>
      <c r="G4" s="94"/>
      <c r="H4" s="94"/>
      <c r="I4" s="94"/>
      <c r="J4" s="94"/>
    </row>
    <row r="5" spans="1:13" ht="14.15" customHeight="1" x14ac:dyDescent="0.25">
      <c r="B5" s="105" t="s">
        <v>860</v>
      </c>
      <c r="C5" s="41">
        <v>314146</v>
      </c>
      <c r="D5" s="23"/>
      <c r="E5" s="41">
        <v>284140</v>
      </c>
      <c r="F5" s="21"/>
      <c r="G5" s="94"/>
      <c r="H5" s="94"/>
      <c r="I5" s="94"/>
    </row>
    <row r="6" spans="1:13" ht="14.15" customHeight="1" x14ac:dyDescent="0.25">
      <c r="B6" s="105" t="s">
        <v>861</v>
      </c>
      <c r="C6" s="41">
        <v>32118</v>
      </c>
      <c r="D6" s="23"/>
      <c r="E6" s="41">
        <v>30930</v>
      </c>
      <c r="F6" s="21"/>
      <c r="G6" s="94"/>
      <c r="H6" s="94"/>
      <c r="I6" s="94"/>
    </row>
    <row r="7" spans="1:13" ht="14.15" customHeight="1" x14ac:dyDescent="0.25">
      <c r="B7" s="105" t="s">
        <v>862</v>
      </c>
      <c r="C7" s="41">
        <v>1551</v>
      </c>
      <c r="D7" s="23"/>
      <c r="E7" s="41">
        <v>1492</v>
      </c>
      <c r="F7" s="21"/>
      <c r="G7" s="94"/>
      <c r="H7" s="94"/>
      <c r="I7" s="94"/>
    </row>
    <row r="8" spans="1:13" ht="14.15" customHeight="1" x14ac:dyDescent="0.25">
      <c r="B8" s="105" t="s">
        <v>863</v>
      </c>
      <c r="C8" s="41">
        <v>62585</v>
      </c>
      <c r="D8" s="23"/>
      <c r="E8" s="41">
        <v>50077</v>
      </c>
      <c r="F8" s="21"/>
      <c r="G8" s="94"/>
      <c r="H8" s="94"/>
      <c r="I8" s="94"/>
    </row>
    <row r="9" spans="1:13" ht="14.15" customHeight="1" x14ac:dyDescent="0.25">
      <c r="B9" s="105" t="s">
        <v>864</v>
      </c>
      <c r="C9" s="41">
        <v>0</v>
      </c>
      <c r="D9" s="23"/>
      <c r="E9" s="41">
        <v>0</v>
      </c>
      <c r="F9" s="21"/>
      <c r="G9" s="94"/>
      <c r="H9" s="94"/>
      <c r="I9" s="94"/>
    </row>
    <row r="10" spans="1:13" ht="14.15" customHeight="1" x14ac:dyDescent="0.25">
      <c r="B10" s="105" t="s">
        <v>865</v>
      </c>
      <c r="C10" s="41">
        <v>0</v>
      </c>
      <c r="D10" s="23"/>
      <c r="E10" s="41">
        <v>0</v>
      </c>
      <c r="F10" s="21"/>
      <c r="G10" s="94"/>
      <c r="H10" s="94"/>
      <c r="I10" s="94"/>
    </row>
    <row r="11" spans="1:13" ht="14.15" customHeight="1" x14ac:dyDescent="0.25">
      <c r="B11" s="105" t="s">
        <v>866</v>
      </c>
      <c r="C11" s="41">
        <v>0</v>
      </c>
      <c r="D11" s="23"/>
      <c r="E11" s="41">
        <v>0</v>
      </c>
      <c r="F11" s="21"/>
      <c r="G11" s="94"/>
      <c r="H11" s="94"/>
      <c r="I11" s="94"/>
    </row>
    <row r="12" spans="1:13" ht="14.15" customHeight="1" x14ac:dyDescent="0.25">
      <c r="B12" s="105" t="s">
        <v>867</v>
      </c>
      <c r="C12" s="41">
        <v>0</v>
      </c>
      <c r="D12" s="23"/>
      <c r="E12" s="41">
        <v>0</v>
      </c>
      <c r="F12" s="21"/>
      <c r="G12" s="94"/>
      <c r="H12" s="94"/>
      <c r="I12" s="94"/>
    </row>
    <row r="13" spans="1:13" ht="14.15" customHeight="1" x14ac:dyDescent="0.25">
      <c r="B13" s="105" t="s">
        <v>868</v>
      </c>
      <c r="C13" s="41">
        <v>392</v>
      </c>
      <c r="D13" s="23"/>
      <c r="E13" s="41">
        <v>1723</v>
      </c>
      <c r="F13" s="21"/>
      <c r="G13" s="94"/>
      <c r="H13" s="94"/>
      <c r="I13" s="94"/>
    </row>
    <row r="14" spans="1:13" ht="14.15" customHeight="1" thickBot="1" x14ac:dyDescent="0.4">
      <c r="B14" s="93" t="s">
        <v>869</v>
      </c>
      <c r="C14" s="42">
        <f>SUM(C5:C13)</f>
        <v>410792</v>
      </c>
      <c r="D14"/>
      <c r="E14" s="42">
        <f>SUM(E5:E13)</f>
        <v>368362</v>
      </c>
      <c r="F14" s="94"/>
      <c r="G14" s="94"/>
      <c r="H14" s="94"/>
      <c r="I14" s="94"/>
    </row>
    <row r="15" spans="1:13" ht="14.15" customHeight="1" thickTop="1" x14ac:dyDescent="0.35">
      <c r="B15" s="105" t="s">
        <v>870</v>
      </c>
      <c r="C15" s="41">
        <v>0</v>
      </c>
      <c r="D15"/>
      <c r="E15" s="41">
        <v>0</v>
      </c>
      <c r="F15" s="94"/>
      <c r="G15" s="94"/>
      <c r="H15" s="94"/>
      <c r="I15" s="94"/>
    </row>
    <row r="16" spans="1:13" ht="14.15" customHeight="1" thickBot="1" x14ac:dyDescent="0.4">
      <c r="B16" s="93" t="s">
        <v>871</v>
      </c>
      <c r="C16" s="42">
        <f>SUM(C14:C15)</f>
        <v>410792</v>
      </c>
      <c r="D16"/>
      <c r="E16" s="42">
        <f>SUM(E14:E15)</f>
        <v>368362</v>
      </c>
      <c r="F16" s="94"/>
      <c r="G16" s="94"/>
      <c r="H16" s="94"/>
      <c r="I16" s="94"/>
    </row>
    <row r="17" spans="1:9" ht="14.15" customHeight="1" thickTop="1" x14ac:dyDescent="0.35">
      <c r="B17" s="93" t="s">
        <v>872</v>
      </c>
      <c r="C17" s="21"/>
      <c r="D17" s="21"/>
      <c r="E17" s="21"/>
      <c r="F17" s="21"/>
      <c r="G17" s="24"/>
      <c r="H17"/>
      <c r="I17" s="21"/>
    </row>
    <row r="18" spans="1:9" ht="14.15" customHeight="1" x14ac:dyDescent="0.35">
      <c r="B18" s="105" t="s">
        <v>873</v>
      </c>
      <c r="C18" s="41">
        <v>0</v>
      </c>
      <c r="D18" s="41"/>
      <c r="E18" s="41">
        <v>0</v>
      </c>
      <c r="F18" s="21"/>
      <c r="G18" s="50"/>
      <c r="H18"/>
      <c r="I18" s="21"/>
    </row>
    <row r="19" spans="1:9" ht="14.15" customHeight="1" x14ac:dyDescent="0.35">
      <c r="C19" s="23"/>
      <c r="D19" s="23"/>
      <c r="E19" s="23"/>
      <c r="F19" s="23"/>
      <c r="G19" s="23"/>
      <c r="H19"/>
      <c r="I19" s="21"/>
    </row>
    <row r="20" spans="1:9" ht="72" customHeight="1" x14ac:dyDescent="0.25">
      <c r="B20" s="480" t="s">
        <v>1316</v>
      </c>
      <c r="C20" s="480"/>
      <c r="D20" s="480"/>
      <c r="E20" s="480"/>
      <c r="F20" s="45"/>
      <c r="G20" s="23"/>
      <c r="H20" s="45"/>
      <c r="I20" s="21"/>
    </row>
    <row r="21" spans="1:9" ht="14.15" customHeight="1" x14ac:dyDescent="0.25">
      <c r="G21" s="23"/>
      <c r="H21" s="17"/>
      <c r="I21" s="21"/>
    </row>
    <row r="22" spans="1:9" ht="14.15" customHeight="1" x14ac:dyDescent="0.25">
      <c r="A22" s="31">
        <f>A1+0.1</f>
        <v>8.1</v>
      </c>
      <c r="B22" s="14" t="str">
        <f>"Note "&amp; A22&amp;" Retirements due to ill-health "</f>
        <v xml:space="preserve">Note 8.1 Retirements due to ill-health </v>
      </c>
      <c r="G22" s="23"/>
    </row>
    <row r="23" spans="1:9" ht="14.15" customHeight="1" x14ac:dyDescent="0.25">
      <c r="B23" s="432" t="s">
        <v>1743</v>
      </c>
      <c r="C23" s="432"/>
      <c r="D23" s="432"/>
      <c r="E23" s="432"/>
      <c r="G23" s="23"/>
    </row>
    <row r="24" spans="1:9" ht="14.15" customHeight="1" x14ac:dyDescent="0.25">
      <c r="B24" s="432"/>
      <c r="C24" s="432"/>
      <c r="D24" s="432"/>
      <c r="E24" s="432"/>
      <c r="G24" s="23"/>
    </row>
    <row r="25" spans="1:9" ht="11.25" customHeight="1" x14ac:dyDescent="0.25">
      <c r="B25" s="432"/>
      <c r="C25" s="432"/>
      <c r="D25" s="432"/>
      <c r="E25" s="432"/>
      <c r="G25" s="23"/>
    </row>
    <row r="26" spans="1:9" ht="13.75" customHeight="1" x14ac:dyDescent="0.25">
      <c r="B26" s="35"/>
      <c r="C26" s="35"/>
      <c r="D26" s="35"/>
      <c r="E26" s="35"/>
      <c r="F26" s="35"/>
      <c r="G26" s="23"/>
      <c r="H26" s="35"/>
      <c r="I26" s="35"/>
    </row>
    <row r="27" spans="1:9" ht="13.75" customHeight="1" x14ac:dyDescent="0.25">
      <c r="B27" s="432" t="s">
        <v>874</v>
      </c>
      <c r="C27" s="432"/>
      <c r="D27" s="432"/>
      <c r="E27" s="432"/>
      <c r="G27" s="23"/>
    </row>
    <row r="28" spans="1:9" ht="14.15" customHeight="1" x14ac:dyDescent="0.25">
      <c r="G28" s="23"/>
    </row>
    <row r="29" spans="1:9" ht="18.75" customHeight="1" x14ac:dyDescent="0.4">
      <c r="B29" s="127" t="s">
        <v>875</v>
      </c>
      <c r="G29" s="23"/>
    </row>
    <row r="30" spans="1:9" ht="40.75" customHeight="1" x14ac:dyDescent="0.25">
      <c r="A30" s="128"/>
      <c r="B30" s="508" t="s">
        <v>1315</v>
      </c>
      <c r="C30" s="508"/>
      <c r="D30" s="508"/>
      <c r="E30" s="508"/>
      <c r="F30" s="122"/>
      <c r="G30" s="23"/>
      <c r="H30" s="122"/>
    </row>
    <row r="31" spans="1:9" ht="14.15" customHeight="1" x14ac:dyDescent="0.25">
      <c r="B31" s="45"/>
      <c r="C31" s="45"/>
      <c r="D31" s="45"/>
      <c r="E31" s="45"/>
      <c r="F31" s="45"/>
      <c r="G31" s="23"/>
      <c r="H31" s="45"/>
    </row>
    <row r="32" spans="1:9" ht="14.15" customHeight="1" x14ac:dyDescent="0.25">
      <c r="B32" s="45"/>
      <c r="C32" s="45"/>
      <c r="D32" s="45"/>
      <c r="E32" s="45"/>
      <c r="F32" s="45"/>
      <c r="G32" s="23"/>
      <c r="H32" s="45"/>
      <c r="I32" s="45"/>
    </row>
    <row r="33" spans="7:7" ht="14.15" customHeight="1" x14ac:dyDescent="0.25">
      <c r="G33" s="23"/>
    </row>
    <row r="34" spans="7:7" ht="14.15" customHeight="1" x14ac:dyDescent="0.25">
      <c r="G34" s="23"/>
    </row>
  </sheetData>
  <customSheetViews>
    <customSheetView guid="{EDC1BD6E-863A-4FC6-A3A9-F32079F4F0C1}">
      <selection activeCell="L55" sqref="L55"/>
      <pageMargins left="0" right="0" top="0" bottom="0" header="0" footer="0"/>
      <pageSetup paperSize="9" orientation="portrait" verticalDpi="0" r:id="rId1"/>
    </customSheetView>
  </customSheetViews>
  <mergeCells count="5">
    <mergeCell ref="B20:E20"/>
    <mergeCell ref="B23:E25"/>
    <mergeCell ref="B27:E27"/>
    <mergeCell ref="B30:E30"/>
    <mergeCell ref="C1:E1"/>
  </mergeCells>
  <pageMargins left="0.7" right="0.7" top="0.75" bottom="0.75" header="0.3" footer="0.3"/>
  <pageSetup paperSize="9" orientation="portrait"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rgb="FFFF0000"/>
  </sheetPr>
  <dimension ref="A1:I55"/>
  <sheetViews>
    <sheetView workbookViewId="0"/>
  </sheetViews>
  <sheetFormatPr defaultColWidth="9.1796875" defaultRowHeight="14.15" customHeight="1" x14ac:dyDescent="0.25"/>
  <cols>
    <col min="1" max="1" width="1.1796875" style="31" customWidth="1"/>
    <col min="2" max="2" width="55.453125" style="1" customWidth="1"/>
    <col min="3" max="3" width="11.453125" style="1" customWidth="1"/>
    <col min="4" max="4" width="1.1796875" style="41" customWidth="1"/>
    <col min="5" max="5" width="11.453125" style="1" customWidth="1"/>
    <col min="6" max="16384" width="9.1796875" style="1"/>
  </cols>
  <sheetData>
    <row r="1" spans="1:9" ht="13.75" customHeight="1" x14ac:dyDescent="0.25">
      <c r="A1" s="31">
        <f>ROUNDDOWN('9-12 Pens&amp; FinIE'!A1,0)+1</f>
        <v>10</v>
      </c>
      <c r="B1" s="14" t="str">
        <f>"Note "&amp;A1 &amp; " Finance income "</f>
        <v xml:space="preserve">Note 10 Finance income </v>
      </c>
      <c r="I1" s="100"/>
    </row>
    <row r="2" spans="1:9" ht="13.75" customHeight="1" x14ac:dyDescent="0.25">
      <c r="B2" s="100" t="s">
        <v>883</v>
      </c>
    </row>
    <row r="3" spans="1:9" ht="13.75" customHeight="1" x14ac:dyDescent="0.25">
      <c r="C3" s="80" t="str">
        <f>CurrentFY</f>
        <v>2024/25</v>
      </c>
      <c r="E3" s="80" t="str">
        <f>ComparativeFY</f>
        <v>2023/24</v>
      </c>
    </row>
    <row r="4" spans="1:9" ht="13.75" customHeight="1" x14ac:dyDescent="0.25">
      <c r="C4" s="80" t="s">
        <v>542</v>
      </c>
      <c r="E4" s="80" t="s">
        <v>542</v>
      </c>
    </row>
    <row r="5" spans="1:9" ht="13.75" customHeight="1" x14ac:dyDescent="0.25">
      <c r="B5" s="105" t="s">
        <v>884</v>
      </c>
      <c r="C5" s="41">
        <v>4405</v>
      </c>
      <c r="E5" s="41">
        <v>4297</v>
      </c>
    </row>
    <row r="6" spans="1:9" s="245" customFormat="1" ht="13.75" hidden="1" customHeight="1" x14ac:dyDescent="0.25">
      <c r="A6" s="243"/>
      <c r="B6" s="216" t="s">
        <v>885</v>
      </c>
      <c r="C6" s="218">
        <v>0</v>
      </c>
      <c r="D6" s="218"/>
      <c r="E6" s="218">
        <v>0</v>
      </c>
    </row>
    <row r="7" spans="1:9" s="245" customFormat="1" ht="13.75" hidden="1" customHeight="1" x14ac:dyDescent="0.25">
      <c r="A7" s="243"/>
      <c r="B7" s="216" t="s">
        <v>886</v>
      </c>
      <c r="C7" s="218">
        <v>0</v>
      </c>
      <c r="D7" s="218"/>
      <c r="E7" s="218">
        <v>0</v>
      </c>
    </row>
    <row r="8" spans="1:9" s="245" customFormat="1" ht="13.75" hidden="1" customHeight="1" x14ac:dyDescent="0.25">
      <c r="A8" s="243"/>
      <c r="B8" s="216" t="s">
        <v>887</v>
      </c>
      <c r="C8" s="218">
        <v>0</v>
      </c>
      <c r="D8" s="218"/>
      <c r="E8" s="218">
        <v>0</v>
      </c>
    </row>
    <row r="9" spans="1:9" s="245" customFormat="1" ht="13.75" hidden="1" customHeight="1" thickBot="1" x14ac:dyDescent="0.3">
      <c r="A9" s="243"/>
      <c r="B9" s="221" t="s">
        <v>888</v>
      </c>
      <c r="C9" s="290">
        <f>SUM(C5:C8)</f>
        <v>4405</v>
      </c>
      <c r="D9" s="218"/>
      <c r="E9" s="290">
        <f>SUM(E5:E8)</f>
        <v>4297</v>
      </c>
    </row>
    <row r="10" spans="1:9" ht="13.75" customHeight="1" x14ac:dyDescent="0.25"/>
    <row r="11" spans="1:9" ht="13.75" customHeight="1" x14ac:dyDescent="0.25">
      <c r="A11" s="31">
        <f>ROUNDDOWN(A1,0)+1.1</f>
        <v>11.1</v>
      </c>
      <c r="B11" s="14" t="str">
        <f>"Note "&amp; A11 &amp; " Finance expenditure "</f>
        <v xml:space="preserve">Note 11.1 Finance expenditure </v>
      </c>
    </row>
    <row r="12" spans="1:9" ht="13.75" customHeight="1" x14ac:dyDescent="0.25">
      <c r="B12" s="100" t="s">
        <v>889</v>
      </c>
    </row>
    <row r="13" spans="1:9" ht="13.75" customHeight="1" x14ac:dyDescent="0.25">
      <c r="C13" s="80" t="str">
        <f>CurrentFY</f>
        <v>2024/25</v>
      </c>
      <c r="E13" s="80" t="str">
        <f>ComparativeFY</f>
        <v>2023/24</v>
      </c>
    </row>
    <row r="14" spans="1:9" ht="13.75" customHeight="1" x14ac:dyDescent="0.25">
      <c r="C14" s="80" t="s">
        <v>542</v>
      </c>
      <c r="E14" s="80" t="s">
        <v>542</v>
      </c>
    </row>
    <row r="15" spans="1:9" ht="13.75" customHeight="1" x14ac:dyDescent="0.25">
      <c r="B15" s="14" t="s">
        <v>890</v>
      </c>
      <c r="C15" s="21"/>
      <c r="E15" s="21"/>
      <c r="F15" s="17"/>
    </row>
    <row r="16" spans="1:9" s="245" customFormat="1" ht="13.75" hidden="1" customHeight="1" x14ac:dyDescent="0.25">
      <c r="A16" s="243"/>
      <c r="B16" s="216" t="s">
        <v>1381</v>
      </c>
      <c r="C16" s="218">
        <v>0</v>
      </c>
      <c r="D16" s="218"/>
      <c r="E16" s="218">
        <v>0</v>
      </c>
      <c r="F16" s="300"/>
    </row>
    <row r="17" spans="1:6" s="245" customFormat="1" ht="13.75" hidden="1" customHeight="1" x14ac:dyDescent="0.25">
      <c r="A17" s="243"/>
      <c r="B17" s="216" t="s">
        <v>1382</v>
      </c>
      <c r="C17" s="218">
        <v>0</v>
      </c>
      <c r="D17" s="218"/>
      <c r="E17" s="218">
        <v>0</v>
      </c>
      <c r="F17" s="300"/>
    </row>
    <row r="18" spans="1:6" s="245" customFormat="1" ht="13.75" hidden="1" customHeight="1" x14ac:dyDescent="0.25">
      <c r="A18" s="243"/>
      <c r="B18" s="216" t="s">
        <v>1383</v>
      </c>
      <c r="C18" s="218">
        <v>0</v>
      </c>
      <c r="D18" s="218"/>
      <c r="E18" s="218">
        <v>0</v>
      </c>
      <c r="F18" s="300"/>
    </row>
    <row r="19" spans="1:6" ht="13.75" customHeight="1" x14ac:dyDescent="0.25">
      <c r="B19" s="105" t="s">
        <v>1384</v>
      </c>
      <c r="C19" s="41">
        <v>285</v>
      </c>
      <c r="E19" s="41">
        <v>192</v>
      </c>
      <c r="F19" s="17"/>
    </row>
    <row r="20" spans="1:6" s="245" customFormat="1" ht="13.75" hidden="1" customHeight="1" x14ac:dyDescent="0.25">
      <c r="A20" s="243"/>
      <c r="B20" s="216" t="s">
        <v>892</v>
      </c>
      <c r="C20" s="218">
        <v>0</v>
      </c>
      <c r="D20" s="218"/>
      <c r="E20" s="218">
        <v>0</v>
      </c>
      <c r="F20" s="300"/>
    </row>
    <row r="21" spans="1:6" s="245" customFormat="1" ht="13.75" hidden="1" customHeight="1" x14ac:dyDescent="0.25">
      <c r="A21" s="243"/>
      <c r="B21" s="305" t="s">
        <v>1476</v>
      </c>
      <c r="C21" s="218"/>
      <c r="D21" s="218"/>
      <c r="E21" s="218"/>
      <c r="F21" s="300"/>
    </row>
    <row r="22" spans="1:6" s="245" customFormat="1" ht="13.75" hidden="1" customHeight="1" x14ac:dyDescent="0.25">
      <c r="A22" s="243"/>
      <c r="B22" s="216" t="s">
        <v>1451</v>
      </c>
      <c r="C22" s="218">
        <v>0</v>
      </c>
      <c r="D22" s="218"/>
      <c r="E22" s="218">
        <v>0</v>
      </c>
      <c r="F22" s="300"/>
    </row>
    <row r="23" spans="1:6" s="245" customFormat="1" ht="13.75" hidden="1" customHeight="1" x14ac:dyDescent="0.25">
      <c r="A23" s="243"/>
      <c r="B23" s="216" t="s">
        <v>1588</v>
      </c>
      <c r="C23" s="218">
        <v>0</v>
      </c>
      <c r="D23" s="218"/>
      <c r="E23" s="218">
        <v>0</v>
      </c>
      <c r="F23" s="300"/>
    </row>
    <row r="24" spans="1:6" s="245" customFormat="1" ht="13.5" hidden="1" customHeight="1" x14ac:dyDescent="0.25">
      <c r="A24" s="243"/>
      <c r="B24" s="216" t="s">
        <v>1589</v>
      </c>
      <c r="C24" s="218">
        <v>0</v>
      </c>
      <c r="D24" s="218"/>
      <c r="E24" s="218">
        <v>0</v>
      </c>
      <c r="F24" s="300"/>
    </row>
    <row r="25" spans="1:6" s="245" customFormat="1" ht="13.75" hidden="1" customHeight="1" thickBot="1" x14ac:dyDescent="0.3">
      <c r="A25" s="243"/>
      <c r="B25" s="221" t="s">
        <v>893</v>
      </c>
      <c r="C25" s="290">
        <f>SUM(C16:C24)</f>
        <v>285</v>
      </c>
      <c r="D25" s="218"/>
      <c r="E25" s="290">
        <f>SUM(E16:E24)</f>
        <v>192</v>
      </c>
    </row>
    <row r="26" spans="1:6" ht="13.75" customHeight="1" x14ac:dyDescent="0.25">
      <c r="B26" s="105" t="s">
        <v>894</v>
      </c>
      <c r="C26" s="41">
        <v>335</v>
      </c>
      <c r="E26" s="41">
        <v>248</v>
      </c>
    </row>
    <row r="27" spans="1:6" s="245" customFormat="1" ht="13.75" hidden="1" customHeight="1" x14ac:dyDescent="0.25">
      <c r="A27" s="243"/>
      <c r="B27" s="216" t="s">
        <v>895</v>
      </c>
      <c r="C27" s="218">
        <v>0</v>
      </c>
      <c r="D27" s="218"/>
      <c r="E27" s="218">
        <v>0</v>
      </c>
    </row>
    <row r="28" spans="1:6" ht="13.75" customHeight="1" thickBot="1" x14ac:dyDescent="0.3">
      <c r="B28" s="93" t="s">
        <v>896</v>
      </c>
      <c r="C28" s="42">
        <f>SUM(C25:C27)</f>
        <v>620</v>
      </c>
      <c r="E28" s="42">
        <f>SUM(E25:E27)</f>
        <v>440</v>
      </c>
    </row>
    <row r="29" spans="1:6" ht="13.75" customHeight="1" thickTop="1" x14ac:dyDescent="0.25">
      <c r="C29" s="23"/>
      <c r="E29" s="23"/>
    </row>
    <row r="30" spans="1:6" ht="13.75" hidden="1" customHeight="1" x14ac:dyDescent="0.25">
      <c r="C30" s="23"/>
      <c r="E30" s="23"/>
    </row>
    <row r="31" spans="1:6" s="245" customFormat="1" ht="14.5" hidden="1" x14ac:dyDescent="0.35">
      <c r="A31" s="243">
        <f>A11+0.1</f>
        <v>11.2</v>
      </c>
      <c r="B31" s="221" t="str">
        <f>"Note "&amp; A31 &amp; " The late payment of commercial debts (interest) Act 1998"</f>
        <v>Note 11.2 The late payment of commercial debts (interest) Act 1998</v>
      </c>
      <c r="C31" s="306"/>
      <c r="D31" s="306"/>
      <c r="E31" s="306"/>
    </row>
    <row r="32" spans="1:6" s="245" customFormat="1" ht="15.65" hidden="1" customHeight="1" x14ac:dyDescent="0.25">
      <c r="A32" s="243"/>
      <c r="C32" s="266" t="str">
        <f>CurrentFY</f>
        <v>2024/25</v>
      </c>
      <c r="D32" s="218"/>
      <c r="E32" s="266" t="str">
        <f>ComparativeFY</f>
        <v>2023/24</v>
      </c>
    </row>
    <row r="33" spans="1:5" s="245" customFormat="1" ht="14.15" hidden="1" customHeight="1" x14ac:dyDescent="0.25">
      <c r="A33" s="243"/>
      <c r="C33" s="266" t="s">
        <v>542</v>
      </c>
      <c r="D33" s="218"/>
      <c r="E33" s="266" t="s">
        <v>542</v>
      </c>
    </row>
    <row r="34" spans="1:5" s="245" customFormat="1" ht="14.15" hidden="1" customHeight="1" x14ac:dyDescent="0.25">
      <c r="A34" s="243"/>
      <c r="B34" s="224" t="s">
        <v>897</v>
      </c>
      <c r="C34" s="218">
        <v>0</v>
      </c>
      <c r="D34" s="218"/>
      <c r="E34" s="218">
        <v>0</v>
      </c>
    </row>
    <row r="35" spans="1:5" s="245" customFormat="1" ht="23" hidden="1" x14ac:dyDescent="0.25">
      <c r="A35" s="243"/>
      <c r="B35" s="216" t="s">
        <v>898</v>
      </c>
      <c r="C35" s="218">
        <v>0</v>
      </c>
      <c r="D35" s="218"/>
      <c r="E35" s="218">
        <v>0</v>
      </c>
    </row>
    <row r="36" spans="1:5" s="245" customFormat="1" ht="14.15" hidden="1" customHeight="1" x14ac:dyDescent="0.25">
      <c r="A36" s="243"/>
      <c r="B36" s="216" t="s">
        <v>899</v>
      </c>
      <c r="C36" s="218">
        <v>0</v>
      </c>
      <c r="D36" s="218"/>
      <c r="E36" s="218">
        <v>0</v>
      </c>
    </row>
    <row r="37" spans="1:5" s="245" customFormat="1" ht="14.15" hidden="1" customHeight="1" x14ac:dyDescent="0.25">
      <c r="A37" s="243"/>
      <c r="C37" s="301"/>
      <c r="D37" s="218"/>
      <c r="E37" s="301"/>
    </row>
    <row r="38" spans="1:5" ht="14.15" customHeight="1" x14ac:dyDescent="0.35">
      <c r="A38" s="31">
        <f>ROUNDDOWN(A31,0)+1</f>
        <v>12</v>
      </c>
      <c r="B38" s="14" t="str">
        <f>"Note "&amp; A38 &amp; " Other gains / (losses) "</f>
        <v xml:space="preserve">Note 12 Other gains / (losses) </v>
      </c>
      <c r="C38" s="457"/>
      <c r="D38" s="457"/>
      <c r="E38" s="457"/>
    </row>
    <row r="39" spans="1:5" ht="14.15" customHeight="1" x14ac:dyDescent="0.25">
      <c r="C39" s="80" t="str">
        <f>CurrentFY</f>
        <v>2024/25</v>
      </c>
      <c r="E39" s="80" t="str">
        <f>ComparativeFY</f>
        <v>2023/24</v>
      </c>
    </row>
    <row r="40" spans="1:5" ht="14.15" customHeight="1" x14ac:dyDescent="0.25">
      <c r="C40" s="80" t="s">
        <v>542</v>
      </c>
      <c r="E40" s="80" t="s">
        <v>542</v>
      </c>
    </row>
    <row r="41" spans="1:5" ht="14.5" customHeight="1" x14ac:dyDescent="0.25">
      <c r="B41" s="105" t="s">
        <v>900</v>
      </c>
      <c r="C41" s="41">
        <v>556</v>
      </c>
      <c r="E41" s="41">
        <v>32</v>
      </c>
    </row>
    <row r="42" spans="1:5" ht="14.15" customHeight="1" x14ac:dyDescent="0.25">
      <c r="B42" s="105" t="s">
        <v>901</v>
      </c>
      <c r="C42" s="41">
        <v>-224</v>
      </c>
      <c r="E42" s="41">
        <v>-163</v>
      </c>
    </row>
    <row r="43" spans="1:5" ht="14.15" customHeight="1" x14ac:dyDescent="0.25">
      <c r="B43" s="93" t="s">
        <v>902</v>
      </c>
      <c r="C43" s="43">
        <f>SUM(C41:C42)</f>
        <v>332</v>
      </c>
      <c r="E43" s="43">
        <f>SUM(E41:E42)</f>
        <v>-131</v>
      </c>
    </row>
    <row r="44" spans="1:5" s="245" customFormat="1" ht="14.15" hidden="1" customHeight="1" x14ac:dyDescent="0.25">
      <c r="A44" s="243"/>
      <c r="B44" s="216" t="s">
        <v>903</v>
      </c>
      <c r="C44" s="218">
        <v>0</v>
      </c>
      <c r="D44" s="218"/>
      <c r="E44" s="218">
        <v>0</v>
      </c>
    </row>
    <row r="45" spans="1:5" ht="14.15" customHeight="1" x14ac:dyDescent="0.25">
      <c r="B45" s="105" t="s">
        <v>904</v>
      </c>
      <c r="C45" s="41">
        <v>0</v>
      </c>
      <c r="E45" s="41">
        <v>-160</v>
      </c>
    </row>
    <row r="46" spans="1:5" s="245" customFormat="1" ht="14.15" hidden="1" customHeight="1" x14ac:dyDescent="0.25">
      <c r="A46" s="243"/>
      <c r="B46" s="216" t="s">
        <v>905</v>
      </c>
      <c r="C46" s="218">
        <v>0</v>
      </c>
      <c r="D46" s="218"/>
      <c r="E46" s="218">
        <v>0</v>
      </c>
    </row>
    <row r="47" spans="1:5" s="245" customFormat="1" ht="14.15" hidden="1" customHeight="1" x14ac:dyDescent="0.25">
      <c r="A47" s="243"/>
      <c r="B47" s="216" t="s">
        <v>906</v>
      </c>
      <c r="C47" s="218">
        <v>0</v>
      </c>
      <c r="D47" s="218"/>
      <c r="E47" s="218">
        <v>0</v>
      </c>
    </row>
    <row r="48" spans="1:5" s="245" customFormat="1" ht="24.4" hidden="1" customHeight="1" x14ac:dyDescent="0.25">
      <c r="A48" s="243"/>
      <c r="B48" s="216" t="s">
        <v>907</v>
      </c>
      <c r="C48" s="218">
        <v>0</v>
      </c>
      <c r="D48" s="218"/>
      <c r="E48" s="218">
        <v>0</v>
      </c>
    </row>
    <row r="49" spans="1:5" s="245" customFormat="1" ht="13.5" hidden="1" customHeight="1" x14ac:dyDescent="0.25">
      <c r="A49" s="243"/>
      <c r="B49" s="216" t="s">
        <v>1322</v>
      </c>
      <c r="C49" s="218">
        <v>0</v>
      </c>
      <c r="D49" s="218"/>
      <c r="E49" s="218">
        <v>0</v>
      </c>
    </row>
    <row r="50" spans="1:5" s="245" customFormat="1" ht="13.5" hidden="1" customHeight="1" x14ac:dyDescent="0.25">
      <c r="A50" s="243"/>
      <c r="B50" s="216" t="s">
        <v>1323</v>
      </c>
      <c r="C50" s="218">
        <v>0</v>
      </c>
      <c r="D50" s="218"/>
      <c r="E50" s="218">
        <v>0</v>
      </c>
    </row>
    <row r="51" spans="1:5" s="245" customFormat="1" ht="14.15" hidden="1" customHeight="1" x14ac:dyDescent="0.25">
      <c r="A51" s="243"/>
      <c r="B51" s="216" t="s">
        <v>471</v>
      </c>
      <c r="C51" s="218">
        <v>0</v>
      </c>
      <c r="D51" s="218"/>
      <c r="E51" s="218">
        <v>0</v>
      </c>
    </row>
    <row r="52" spans="1:5" ht="14.15" customHeight="1" thickBot="1" x14ac:dyDescent="0.3">
      <c r="B52" s="93" t="s">
        <v>908</v>
      </c>
      <c r="C52" s="42">
        <f>SUM(C43:C51)</f>
        <v>332</v>
      </c>
      <c r="E52" s="42">
        <f>SUM(E43:E51)</f>
        <v>-291</v>
      </c>
    </row>
    <row r="53" spans="1:5" ht="53.5" customHeight="1" thickTop="1" x14ac:dyDescent="0.25">
      <c r="B53" s="480" t="s">
        <v>909</v>
      </c>
      <c r="C53" s="480"/>
      <c r="D53" s="480"/>
      <c r="E53" s="480"/>
    </row>
    <row r="55" spans="1:5" ht="14.15" customHeight="1" x14ac:dyDescent="0.25">
      <c r="C55" s="23"/>
      <c r="E55" s="23"/>
    </row>
  </sheetData>
  <customSheetViews>
    <customSheetView guid="{EDC1BD6E-863A-4FC6-A3A9-F32079F4F0C1}" topLeftCell="A19">
      <selection activeCell="G43" sqref="G43"/>
      <pageMargins left="0" right="0" top="0" bottom="0" header="0" footer="0"/>
      <pageSetup paperSize="9" orientation="portrait" verticalDpi="0" r:id="rId1"/>
    </customSheetView>
  </customSheetViews>
  <mergeCells count="2">
    <mergeCell ref="B53:E53"/>
    <mergeCell ref="C38:E38"/>
  </mergeCells>
  <pageMargins left="0.7" right="0.7" top="0.75" bottom="0.75" header="0.3" footer="0.3"/>
  <pageSetup paperSize="9" orientation="portrait"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tabColor rgb="FFFF0000"/>
  </sheetPr>
  <dimension ref="A1:I18"/>
  <sheetViews>
    <sheetView workbookViewId="0"/>
  </sheetViews>
  <sheetFormatPr defaultColWidth="9.1796875" defaultRowHeight="14.15" customHeight="1" x14ac:dyDescent="0.25"/>
  <cols>
    <col min="1" max="1" width="1.1796875" style="31" customWidth="1"/>
    <col min="2" max="2" width="62.1796875" style="1" customWidth="1"/>
    <col min="3" max="3" width="11.453125" style="1" customWidth="1"/>
    <col min="4" max="4" width="1.1796875" style="41" customWidth="1"/>
    <col min="5" max="5" width="11.453125" style="1" customWidth="1"/>
    <col min="6" max="16384" width="9.1796875" style="1"/>
  </cols>
  <sheetData>
    <row r="1" spans="1:9" s="14" customFormat="1" ht="14.15" customHeight="1" x14ac:dyDescent="0.35">
      <c r="A1" s="33">
        <f>ROUNDDOWN('Finance &amp; other'!A38,0)+1</f>
        <v>13</v>
      </c>
      <c r="B1" s="14" t="str">
        <f>"Note "&amp; A1 &amp; " Discontinued operations "</f>
        <v xml:space="preserve">Note 13 Discontinued operations </v>
      </c>
      <c r="C1" s="168"/>
      <c r="D1" s="168"/>
      <c r="E1" s="168"/>
      <c r="I1" s="151"/>
    </row>
    <row r="2" spans="1:9" ht="14.15" customHeight="1" x14ac:dyDescent="0.25">
      <c r="B2" s="14"/>
      <c r="C2" s="80" t="str">
        <f>CurrentFY</f>
        <v>2024/25</v>
      </c>
      <c r="E2" s="80" t="str">
        <f>ComparativeFY</f>
        <v>2023/24</v>
      </c>
    </row>
    <row r="3" spans="1:9" ht="14.15" customHeight="1" x14ac:dyDescent="0.25">
      <c r="C3" s="80" t="s">
        <v>542</v>
      </c>
      <c r="E3" s="80" t="s">
        <v>542</v>
      </c>
    </row>
    <row r="4" spans="1:9" ht="14.15" customHeight="1" x14ac:dyDescent="0.25">
      <c r="B4" s="105" t="s">
        <v>910</v>
      </c>
      <c r="C4" s="41">
        <v>0</v>
      </c>
      <c r="E4" s="41">
        <v>0</v>
      </c>
    </row>
    <row r="5" spans="1:9" ht="14.15" customHeight="1" x14ac:dyDescent="0.25">
      <c r="B5" s="105" t="s">
        <v>911</v>
      </c>
      <c r="C5" s="41">
        <v>0</v>
      </c>
      <c r="E5" s="41">
        <v>0</v>
      </c>
    </row>
    <row r="6" spans="1:9" ht="14.15" customHeight="1" x14ac:dyDescent="0.25">
      <c r="B6" s="105" t="s">
        <v>912</v>
      </c>
      <c r="C6" s="41">
        <v>0</v>
      </c>
      <c r="E6" s="41">
        <v>0</v>
      </c>
    </row>
    <row r="7" spans="1:9" ht="14.15" customHeight="1" x14ac:dyDescent="0.25">
      <c r="B7" s="105" t="s">
        <v>913</v>
      </c>
      <c r="C7" s="41">
        <v>0</v>
      </c>
      <c r="E7" s="41">
        <v>0</v>
      </c>
    </row>
    <row r="8" spans="1:9" s="14" customFormat="1" ht="14.15" customHeight="1" x14ac:dyDescent="0.25">
      <c r="A8" s="33">
        <f>ROUNDDOWN(A1,0)+1</f>
        <v>14</v>
      </c>
      <c r="B8" s="105" t="s">
        <v>914</v>
      </c>
      <c r="C8" s="41">
        <v>0</v>
      </c>
      <c r="D8" s="41"/>
      <c r="E8" s="41">
        <v>0</v>
      </c>
    </row>
    <row r="9" spans="1:9" ht="14.15" customHeight="1" thickBot="1" x14ac:dyDescent="0.3">
      <c r="B9" s="93" t="s">
        <v>541</v>
      </c>
      <c r="C9" s="42">
        <f>SUM(C4:C8)</f>
        <v>0</v>
      </c>
      <c r="E9" s="42">
        <f>SUM(E4:E8)</f>
        <v>0</v>
      </c>
    </row>
    <row r="10" spans="1:9" ht="14.15" customHeight="1" thickTop="1" x14ac:dyDescent="0.25">
      <c r="B10" s="14"/>
      <c r="C10" s="26"/>
      <c r="E10" s="26"/>
    </row>
    <row r="11" spans="1:9" ht="14.15" customHeight="1" x14ac:dyDescent="0.25">
      <c r="B11" s="95" t="s">
        <v>915</v>
      </c>
      <c r="C11" s="95"/>
      <c r="D11" s="95"/>
      <c r="E11" s="95"/>
    </row>
    <row r="13" spans="1:9" ht="14.15" customHeight="1" x14ac:dyDescent="0.25">
      <c r="D13" s="1"/>
    </row>
    <row r="14" spans="1:9" ht="14.15" customHeight="1" x14ac:dyDescent="0.25">
      <c r="D14" s="1"/>
    </row>
    <row r="15" spans="1:9" ht="14.15" customHeight="1" x14ac:dyDescent="0.25">
      <c r="D15" s="1"/>
    </row>
    <row r="16" spans="1:9" ht="14.15" customHeight="1" x14ac:dyDescent="0.25">
      <c r="D16" s="1"/>
    </row>
    <row r="17" spans="1:1" s="1" customFormat="1" ht="14.15" customHeight="1" x14ac:dyDescent="0.25">
      <c r="A17" s="31"/>
    </row>
    <row r="18" spans="1:1" s="1" customFormat="1" ht="14.15" customHeight="1" x14ac:dyDescent="0.25">
      <c r="A18" s="31"/>
    </row>
  </sheetData>
  <customSheetViews>
    <customSheetView guid="{EDC1BD6E-863A-4FC6-A3A9-F32079F4F0C1}">
      <selection activeCell="B41" sqref="B41"/>
      <pageMargins left="0" right="0" top="0" bottom="0" header="0" footer="0"/>
      <pageSetup paperSize="9" orientation="portrait" verticalDpi="0" r:id="rId1"/>
    </customSheetView>
  </customSheetView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92D050"/>
    <pageSetUpPr fitToPage="1"/>
  </sheetPr>
  <dimension ref="A1:P87"/>
  <sheetViews>
    <sheetView workbookViewId="0"/>
  </sheetViews>
  <sheetFormatPr defaultColWidth="9.1796875" defaultRowHeight="11.5" x14ac:dyDescent="0.25"/>
  <cols>
    <col min="1" max="1" width="47.81640625" style="2" customWidth="1"/>
    <col min="2" max="3" width="10.7265625" style="2" customWidth="1"/>
    <col min="4" max="6" width="10.7265625" style="2" hidden="1" customWidth="1"/>
    <col min="7" max="8" width="10.7265625" style="2" customWidth="1"/>
    <col min="9" max="9" width="10.26953125" style="220" hidden="1" customWidth="1"/>
    <col min="10" max="16" width="0" style="220" hidden="1" customWidth="1"/>
    <col min="17" max="16384" width="9.1796875" style="2"/>
  </cols>
  <sheetData>
    <row r="1" spans="1:16" ht="16" customHeight="1" thickBot="1" x14ac:dyDescent="0.4">
      <c r="A1" s="114" t="str">
        <f>"Statement of Changes in Taxpayers' Equity for the year ended " &amp; TEXT(CurrentYearEnd, "d mmmm yyyy")</f>
        <v>Statement of Changes in Taxpayers' Equity for the year ended 31 March 2025</v>
      </c>
      <c r="B1" s="5"/>
      <c r="C1" s="5"/>
      <c r="D1" s="5"/>
      <c r="E1" s="5"/>
      <c r="F1" s="5"/>
      <c r="G1" s="5"/>
      <c r="H1" s="5"/>
      <c r="I1" s="229" t="s">
        <v>1469</v>
      </c>
      <c r="J1" s="230"/>
      <c r="K1" s="231"/>
      <c r="L1" s="231"/>
      <c r="M1" s="231"/>
      <c r="N1" s="231"/>
      <c r="O1" s="231"/>
      <c r="P1" s="232"/>
    </row>
    <row r="2" spans="1:16" ht="11.25" customHeight="1" x14ac:dyDescent="0.35">
      <c r="A2" s="114"/>
      <c r="B2" s="5"/>
      <c r="C2" s="5"/>
      <c r="D2" s="5"/>
      <c r="E2" s="5"/>
      <c r="F2" s="5"/>
      <c r="G2" s="5"/>
      <c r="H2" s="5"/>
    </row>
    <row r="3" spans="1:16" ht="34.5" x14ac:dyDescent="0.25">
      <c r="A3" s="14"/>
      <c r="B3" s="226" t="s">
        <v>531</v>
      </c>
      <c r="C3" s="226" t="s">
        <v>532</v>
      </c>
      <c r="D3" s="226" t="s">
        <v>540</v>
      </c>
      <c r="E3" s="226" t="s">
        <v>534</v>
      </c>
      <c r="F3" s="226" t="s">
        <v>535</v>
      </c>
      <c r="G3" s="226" t="s">
        <v>536</v>
      </c>
      <c r="H3" s="226" t="s">
        <v>541</v>
      </c>
      <c r="I3" s="233"/>
      <c r="J3" s="233"/>
      <c r="K3" s="234"/>
      <c r="L3" s="234"/>
      <c r="M3" s="234"/>
      <c r="N3" s="234"/>
      <c r="P3" s="234"/>
    </row>
    <row r="4" spans="1:16" ht="21.65" customHeight="1" x14ac:dyDescent="0.25">
      <c r="A4" s="14"/>
      <c r="B4" s="80" t="s">
        <v>542</v>
      </c>
      <c r="C4" s="80" t="s">
        <v>542</v>
      </c>
      <c r="D4" s="80" t="s">
        <v>542</v>
      </c>
      <c r="E4" s="80" t="s">
        <v>542</v>
      </c>
      <c r="F4" s="80" t="s">
        <v>542</v>
      </c>
      <c r="G4" s="80" t="s">
        <v>542</v>
      </c>
      <c r="H4" s="80" t="s">
        <v>542</v>
      </c>
      <c r="I4" s="233"/>
      <c r="J4" s="233"/>
    </row>
    <row r="5" spans="1:16" ht="28.5" customHeight="1" x14ac:dyDescent="0.25">
      <c r="A5" s="14" t="str">
        <f>"Taxpayers' and others' equity at " &amp; TEXT(CurrentYearStart,"d mmmm yyyy") &amp;" - brought forward"</f>
        <v>Taxpayers' and others' equity at 1 April 2024 - brought forward</v>
      </c>
      <c r="B5" s="50">
        <f>B56</f>
        <v>112091</v>
      </c>
      <c r="C5" s="50">
        <f t="shared" ref="C5:G5" si="0">C56</f>
        <v>5572.4480000000003</v>
      </c>
      <c r="D5" s="50">
        <f t="shared" si="0"/>
        <v>0</v>
      </c>
      <c r="E5" s="50">
        <f t="shared" si="0"/>
        <v>0</v>
      </c>
      <c r="F5" s="50">
        <f t="shared" si="0"/>
        <v>0</v>
      </c>
      <c r="G5" s="50">
        <f t="shared" si="0"/>
        <v>-10741.985000000001</v>
      </c>
      <c r="H5" s="50">
        <f t="shared" ref="H5:H25" si="1">SUM(B5:G5)</f>
        <v>106921.463</v>
      </c>
    </row>
    <row r="6" spans="1:16" s="220" customFormat="1" ht="10.5" hidden="1" customHeight="1" x14ac:dyDescent="0.25">
      <c r="A6" s="221" t="s">
        <v>543</v>
      </c>
      <c r="B6" s="227">
        <v>0</v>
      </c>
      <c r="C6" s="227">
        <v>0</v>
      </c>
      <c r="D6" s="227">
        <v>0</v>
      </c>
      <c r="E6" s="227">
        <v>0</v>
      </c>
      <c r="F6" s="227">
        <v>0</v>
      </c>
      <c r="G6" s="227">
        <v>0</v>
      </c>
      <c r="H6" s="227">
        <f t="shared" si="1"/>
        <v>0</v>
      </c>
      <c r="J6" s="220" t="s">
        <v>544</v>
      </c>
    </row>
    <row r="7" spans="1:16" ht="14.15" customHeight="1" x14ac:dyDescent="0.25">
      <c r="A7" s="105" t="s">
        <v>545</v>
      </c>
      <c r="B7" s="179">
        <v>0</v>
      </c>
      <c r="C7" s="179">
        <v>0</v>
      </c>
      <c r="D7" s="179">
        <v>0</v>
      </c>
      <c r="E7" s="179">
        <v>0</v>
      </c>
      <c r="F7" s="179">
        <v>0</v>
      </c>
      <c r="G7" s="179">
        <v>5221</v>
      </c>
      <c r="H7" s="50">
        <f t="shared" si="1"/>
        <v>5221</v>
      </c>
    </row>
    <row r="8" spans="1:16" s="220" customFormat="1" ht="14.15" hidden="1" customHeight="1" x14ac:dyDescent="0.25">
      <c r="A8" s="216" t="s">
        <v>546</v>
      </c>
      <c r="B8" s="228">
        <v>0</v>
      </c>
      <c r="C8" s="228">
        <v>0</v>
      </c>
      <c r="D8" s="228">
        <v>0</v>
      </c>
      <c r="E8" s="228">
        <v>0</v>
      </c>
      <c r="F8" s="228">
        <v>0</v>
      </c>
      <c r="G8" s="228">
        <v>0</v>
      </c>
      <c r="H8" s="227">
        <f t="shared" si="1"/>
        <v>0</v>
      </c>
    </row>
    <row r="9" spans="1:16" s="220" customFormat="1" ht="24.4" hidden="1" customHeight="1" x14ac:dyDescent="0.25">
      <c r="A9" s="216" t="s">
        <v>547</v>
      </c>
      <c r="B9" s="218">
        <v>0</v>
      </c>
      <c r="C9" s="218">
        <v>0</v>
      </c>
      <c r="D9" s="218">
        <v>0</v>
      </c>
      <c r="E9" s="218">
        <v>0</v>
      </c>
      <c r="F9" s="218">
        <v>0</v>
      </c>
      <c r="G9" s="218">
        <v>0</v>
      </c>
      <c r="H9" s="227">
        <f t="shared" si="1"/>
        <v>0</v>
      </c>
    </row>
    <row r="10" spans="1:16" ht="14.15" customHeight="1" x14ac:dyDescent="0.25">
      <c r="A10" s="105" t="s">
        <v>548</v>
      </c>
      <c r="B10" s="41">
        <v>0</v>
      </c>
      <c r="C10" s="41">
        <v>-667</v>
      </c>
      <c r="D10" s="41">
        <v>0</v>
      </c>
      <c r="E10" s="41">
        <v>0</v>
      </c>
      <c r="F10" s="41">
        <v>0</v>
      </c>
      <c r="G10" s="41">
        <v>667</v>
      </c>
      <c r="H10" s="50">
        <f t="shared" si="1"/>
        <v>0</v>
      </c>
      <c r="I10" s="2"/>
      <c r="J10" s="2"/>
      <c r="K10" s="2"/>
      <c r="L10" s="2"/>
      <c r="M10" s="2"/>
      <c r="N10" s="2"/>
      <c r="O10" s="2"/>
      <c r="P10" s="2"/>
    </row>
    <row r="11" spans="1:16" ht="14.15" customHeight="1" x14ac:dyDescent="0.25">
      <c r="A11" s="105" t="s">
        <v>549</v>
      </c>
      <c r="B11" s="41">
        <v>0</v>
      </c>
      <c r="C11" s="41">
        <v>429</v>
      </c>
      <c r="D11" s="41">
        <v>0</v>
      </c>
      <c r="E11" s="41">
        <v>0</v>
      </c>
      <c r="F11" s="41">
        <v>0</v>
      </c>
      <c r="G11" s="41">
        <v>0</v>
      </c>
      <c r="H11" s="50">
        <f t="shared" si="1"/>
        <v>429</v>
      </c>
    </row>
    <row r="12" spans="1:16" ht="14.15" customHeight="1" x14ac:dyDescent="0.25">
      <c r="A12" s="105" t="s">
        <v>481</v>
      </c>
      <c r="B12" s="41">
        <v>0</v>
      </c>
      <c r="C12" s="41">
        <v>1389</v>
      </c>
      <c r="D12" s="41">
        <v>0</v>
      </c>
      <c r="E12" s="41">
        <v>0</v>
      </c>
      <c r="F12" s="41">
        <v>0</v>
      </c>
      <c r="G12" s="41">
        <v>0</v>
      </c>
      <c r="H12" s="50">
        <f t="shared" si="1"/>
        <v>1389</v>
      </c>
    </row>
    <row r="13" spans="1:16" ht="14.15" customHeight="1" x14ac:dyDescent="0.25">
      <c r="A13" s="105" t="s">
        <v>550</v>
      </c>
      <c r="B13" s="41">
        <v>0</v>
      </c>
      <c r="C13" s="41">
        <v>-88</v>
      </c>
      <c r="D13" s="41">
        <v>0</v>
      </c>
      <c r="E13" s="41">
        <v>0</v>
      </c>
      <c r="F13" s="41">
        <v>0</v>
      </c>
      <c r="G13" s="41">
        <v>88</v>
      </c>
      <c r="H13" s="50">
        <f t="shared" si="1"/>
        <v>0</v>
      </c>
      <c r="I13" s="2"/>
      <c r="J13" s="2"/>
      <c r="K13" s="2"/>
      <c r="L13" s="2"/>
      <c r="M13" s="2"/>
      <c r="N13" s="2"/>
      <c r="O13" s="2"/>
      <c r="P13" s="2"/>
    </row>
    <row r="14" spans="1:16" s="220" customFormat="1" ht="13.75" hidden="1" customHeight="1" x14ac:dyDescent="0.25">
      <c r="A14" s="216" t="s">
        <v>482</v>
      </c>
      <c r="B14" s="218">
        <v>0</v>
      </c>
      <c r="C14" s="218">
        <v>0</v>
      </c>
      <c r="D14" s="218">
        <v>0</v>
      </c>
      <c r="E14" s="218">
        <v>0</v>
      </c>
      <c r="F14" s="218">
        <v>0</v>
      </c>
      <c r="G14" s="218">
        <v>0</v>
      </c>
      <c r="H14" s="227">
        <f t="shared" si="1"/>
        <v>0</v>
      </c>
    </row>
    <row r="15" spans="1:16" s="220" customFormat="1" ht="26.15" hidden="1" customHeight="1" x14ac:dyDescent="0.25">
      <c r="A15" s="216" t="s">
        <v>488</v>
      </c>
      <c r="B15" s="218">
        <v>0</v>
      </c>
      <c r="C15" s="218">
        <v>0</v>
      </c>
      <c r="D15" s="218">
        <v>0</v>
      </c>
      <c r="E15" s="218">
        <v>0</v>
      </c>
      <c r="F15" s="218">
        <v>0</v>
      </c>
      <c r="G15" s="218">
        <v>0</v>
      </c>
      <c r="H15" s="227">
        <f t="shared" si="1"/>
        <v>0</v>
      </c>
    </row>
    <row r="16" spans="1:16" s="220" customFormat="1" ht="26.15" hidden="1" customHeight="1" x14ac:dyDescent="0.25">
      <c r="A16" s="216" t="s">
        <v>551</v>
      </c>
      <c r="B16" s="218">
        <v>0</v>
      </c>
      <c r="C16" s="218">
        <v>0</v>
      </c>
      <c r="D16" s="218">
        <v>0</v>
      </c>
      <c r="E16" s="218">
        <v>0</v>
      </c>
      <c r="F16" s="218">
        <v>0</v>
      </c>
      <c r="G16" s="218">
        <v>0</v>
      </c>
      <c r="H16" s="227">
        <f t="shared" si="1"/>
        <v>0</v>
      </c>
    </row>
    <row r="17" spans="1:10" s="220" customFormat="1" ht="26.5" hidden="1" customHeight="1" x14ac:dyDescent="0.25">
      <c r="A17" s="216" t="s">
        <v>489</v>
      </c>
      <c r="B17" s="218">
        <v>0</v>
      </c>
      <c r="C17" s="218">
        <v>0</v>
      </c>
      <c r="D17" s="218">
        <v>0</v>
      </c>
      <c r="E17" s="218">
        <v>0</v>
      </c>
      <c r="F17" s="218">
        <v>0</v>
      </c>
      <c r="G17" s="218">
        <v>0</v>
      </c>
      <c r="H17" s="227">
        <f t="shared" si="1"/>
        <v>0</v>
      </c>
    </row>
    <row r="18" spans="1:10" s="220" customFormat="1" ht="13.75" hidden="1" customHeight="1" x14ac:dyDescent="0.25">
      <c r="A18" s="216" t="s">
        <v>552</v>
      </c>
      <c r="B18" s="218">
        <v>0</v>
      </c>
      <c r="C18" s="218">
        <v>0</v>
      </c>
      <c r="D18" s="218">
        <v>0</v>
      </c>
      <c r="E18" s="218">
        <v>0</v>
      </c>
      <c r="F18" s="218">
        <v>0</v>
      </c>
      <c r="G18" s="218">
        <v>0</v>
      </c>
      <c r="H18" s="227">
        <f t="shared" si="1"/>
        <v>0</v>
      </c>
    </row>
    <row r="19" spans="1:10" s="220" customFormat="1" ht="14.15" hidden="1" customHeight="1" x14ac:dyDescent="0.25">
      <c r="A19" s="216" t="s">
        <v>484</v>
      </c>
      <c r="B19" s="218">
        <v>0</v>
      </c>
      <c r="C19" s="218">
        <v>0</v>
      </c>
      <c r="D19" s="218">
        <v>0</v>
      </c>
      <c r="E19" s="218">
        <v>0</v>
      </c>
      <c r="F19" s="218">
        <v>0</v>
      </c>
      <c r="G19" s="218">
        <v>0</v>
      </c>
      <c r="H19" s="227">
        <f t="shared" si="1"/>
        <v>0</v>
      </c>
    </row>
    <row r="20" spans="1:10" s="220" customFormat="1" ht="13.75" hidden="1" customHeight="1" x14ac:dyDescent="0.25">
      <c r="A20" s="224" t="s">
        <v>553</v>
      </c>
      <c r="B20" s="218">
        <v>0</v>
      </c>
      <c r="C20" s="218">
        <v>0</v>
      </c>
      <c r="D20" s="218">
        <v>0</v>
      </c>
      <c r="E20" s="218">
        <v>0</v>
      </c>
      <c r="F20" s="218">
        <v>0</v>
      </c>
      <c r="G20" s="218">
        <v>0</v>
      </c>
      <c r="H20" s="227">
        <f t="shared" si="1"/>
        <v>0</v>
      </c>
    </row>
    <row r="21" spans="1:10" ht="14.15" customHeight="1" x14ac:dyDescent="0.25">
      <c r="A21" s="105" t="s">
        <v>554</v>
      </c>
      <c r="B21" s="41">
        <v>216</v>
      </c>
      <c r="C21" s="41">
        <v>0</v>
      </c>
      <c r="D21" s="41">
        <v>0</v>
      </c>
      <c r="E21" s="41">
        <v>0</v>
      </c>
      <c r="F21" s="41">
        <v>0</v>
      </c>
      <c r="G21" s="41">
        <v>0</v>
      </c>
      <c r="H21" s="50">
        <f t="shared" si="1"/>
        <v>216</v>
      </c>
    </row>
    <row r="22" spans="1:10" s="220" customFormat="1" ht="14.15" hidden="1" customHeight="1" x14ac:dyDescent="0.25">
      <c r="A22" s="216" t="s">
        <v>555</v>
      </c>
      <c r="B22" s="218">
        <v>0</v>
      </c>
      <c r="C22" s="218">
        <v>0</v>
      </c>
      <c r="D22" s="218">
        <v>0</v>
      </c>
      <c r="E22" s="218">
        <v>0</v>
      </c>
      <c r="F22" s="218">
        <v>0</v>
      </c>
      <c r="G22" s="218">
        <v>0</v>
      </c>
      <c r="H22" s="227">
        <f t="shared" si="1"/>
        <v>0</v>
      </c>
    </row>
    <row r="23" spans="1:10" s="220" customFormat="1" ht="14.15" hidden="1" customHeight="1" x14ac:dyDescent="0.25">
      <c r="A23" s="216" t="s">
        <v>556</v>
      </c>
      <c r="B23" s="218">
        <v>0</v>
      </c>
      <c r="C23" s="218">
        <v>0</v>
      </c>
      <c r="D23" s="218">
        <v>0</v>
      </c>
      <c r="E23" s="218">
        <v>0</v>
      </c>
      <c r="F23" s="218">
        <v>0</v>
      </c>
      <c r="G23" s="218">
        <v>0</v>
      </c>
      <c r="H23" s="227">
        <f t="shared" si="1"/>
        <v>0</v>
      </c>
    </row>
    <row r="24" spans="1:10" s="220" customFormat="1" ht="14.15" hidden="1" customHeight="1" x14ac:dyDescent="0.25">
      <c r="A24" s="216" t="s">
        <v>557</v>
      </c>
      <c r="B24" s="218">
        <v>0</v>
      </c>
      <c r="C24" s="218">
        <v>0</v>
      </c>
      <c r="D24" s="218">
        <v>0</v>
      </c>
      <c r="E24" s="218">
        <v>0</v>
      </c>
      <c r="F24" s="218">
        <v>0</v>
      </c>
      <c r="G24" s="218">
        <v>0</v>
      </c>
      <c r="H24" s="227">
        <f t="shared" si="1"/>
        <v>0</v>
      </c>
    </row>
    <row r="25" spans="1:10" s="220" customFormat="1" ht="14.15" hidden="1" customHeight="1" x14ac:dyDescent="0.25">
      <c r="A25" s="216" t="s">
        <v>486</v>
      </c>
      <c r="B25" s="218">
        <v>0</v>
      </c>
      <c r="C25" s="218">
        <v>0</v>
      </c>
      <c r="D25" s="218">
        <v>0</v>
      </c>
      <c r="E25" s="218">
        <v>0</v>
      </c>
      <c r="F25" s="218">
        <v>0</v>
      </c>
      <c r="G25" s="218">
        <v>0</v>
      </c>
      <c r="H25" s="227">
        <f t="shared" si="1"/>
        <v>0</v>
      </c>
    </row>
    <row r="26" spans="1:10" ht="13.75" customHeight="1" thickBot="1" x14ac:dyDescent="0.3">
      <c r="A26" s="93" t="str">
        <f>"Taxpayers' and others' equity at " &amp; TEXT(CurrentYearEnd, "d mmmm yyyy")</f>
        <v>Taxpayers' and others' equity at 31 March 2025</v>
      </c>
      <c r="B26" s="42">
        <f t="shared" ref="B26:H26" si="2">SUM(B5:B25)</f>
        <v>112307</v>
      </c>
      <c r="C26" s="42">
        <f t="shared" si="2"/>
        <v>6635.4480000000003</v>
      </c>
      <c r="D26" s="42">
        <f t="shared" si="2"/>
        <v>0</v>
      </c>
      <c r="E26" s="42">
        <f t="shared" si="2"/>
        <v>0</v>
      </c>
      <c r="F26" s="42">
        <f t="shared" si="2"/>
        <v>0</v>
      </c>
      <c r="G26" s="42">
        <f t="shared" si="2"/>
        <v>-4765.9850000000006</v>
      </c>
      <c r="H26" s="42">
        <f t="shared" si="2"/>
        <v>114176.463</v>
      </c>
    </row>
    <row r="27" spans="1:10" ht="26.25" customHeight="1" thickTop="1" x14ac:dyDescent="0.25">
      <c r="A27" s="14"/>
      <c r="B27" s="26"/>
      <c r="C27" s="26"/>
      <c r="D27" s="26"/>
      <c r="E27" s="26"/>
      <c r="F27" s="26"/>
      <c r="G27" s="26"/>
      <c r="H27" s="26"/>
    </row>
    <row r="28" spans="1:10" ht="16" customHeight="1" x14ac:dyDescent="0.35">
      <c r="A28" s="114" t="str">
        <f>"Statement of Changes in Taxpayers' Equity for the year ended " &amp; TEXT(ComparativeYearEnd, "d mmmm yyyy")</f>
        <v>Statement of Changes in Taxpayers' Equity for the year ended 31 March 2024</v>
      </c>
      <c r="B28" s="5"/>
      <c r="C28" s="5"/>
      <c r="D28" s="5"/>
      <c r="E28" s="5"/>
      <c r="F28" s="5"/>
      <c r="G28" s="5"/>
      <c r="H28" s="5"/>
    </row>
    <row r="29" spans="1:10" ht="14.15" customHeight="1" x14ac:dyDescent="0.25">
      <c r="A29" s="93"/>
      <c r="B29" s="5"/>
      <c r="C29" s="5"/>
      <c r="D29" s="5"/>
      <c r="E29" s="5"/>
      <c r="F29" s="5"/>
      <c r="G29" s="5"/>
      <c r="H29" s="5"/>
    </row>
    <row r="30" spans="1:10" ht="34.5" x14ac:dyDescent="0.25">
      <c r="A30" s="14"/>
      <c r="B30" s="226" t="s">
        <v>531</v>
      </c>
      <c r="C30" s="226" t="s">
        <v>532</v>
      </c>
      <c r="D30" s="226" t="s">
        <v>540</v>
      </c>
      <c r="E30" s="226" t="s">
        <v>534</v>
      </c>
      <c r="F30" s="226" t="s">
        <v>535</v>
      </c>
      <c r="G30" s="226" t="s">
        <v>536</v>
      </c>
      <c r="H30" s="226" t="s">
        <v>541</v>
      </c>
    </row>
    <row r="31" spans="1:10" ht="14.15" customHeight="1" x14ac:dyDescent="0.25">
      <c r="A31" s="14"/>
      <c r="B31" s="80" t="s">
        <v>542</v>
      </c>
      <c r="C31" s="80" t="s">
        <v>542</v>
      </c>
      <c r="D31" s="80" t="s">
        <v>542</v>
      </c>
      <c r="E31" s="80" t="s">
        <v>542</v>
      </c>
      <c r="F31" s="80" t="s">
        <v>542</v>
      </c>
      <c r="G31" s="80" t="s">
        <v>542</v>
      </c>
      <c r="H31" s="80" t="s">
        <v>542</v>
      </c>
      <c r="I31" s="235"/>
      <c r="J31" s="235"/>
    </row>
    <row r="32" spans="1:10" ht="34.5" customHeight="1" x14ac:dyDescent="0.25">
      <c r="A32" s="14" t="str">
        <f>"Taxpayers' and others' equity at " &amp; TEXT(ComparativeYearStart, "d mmmm yyyy") &amp;" - brought forward"</f>
        <v>Taxpayers' and others' equity at 1 April 2023 - brought forward</v>
      </c>
      <c r="B32" s="50">
        <v>111571</v>
      </c>
      <c r="C32" s="50">
        <v>4210.4480000000003</v>
      </c>
      <c r="D32" s="50">
        <v>0</v>
      </c>
      <c r="E32" s="50">
        <v>0</v>
      </c>
      <c r="F32" s="50">
        <v>0</v>
      </c>
      <c r="G32" s="50">
        <v>-13176.985000000001</v>
      </c>
      <c r="H32" s="50">
        <f t="shared" ref="H32:H37" si="3">SUM(B32:G32)</f>
        <v>102604.463</v>
      </c>
      <c r="I32" s="236"/>
    </row>
    <row r="33" spans="1:10" s="220" customFormat="1" ht="13.75" hidden="1" customHeight="1" x14ac:dyDescent="0.25">
      <c r="A33" s="216" t="s">
        <v>558</v>
      </c>
      <c r="B33" s="218">
        <v>0</v>
      </c>
      <c r="C33" s="218">
        <v>0</v>
      </c>
      <c r="D33" s="218">
        <v>0</v>
      </c>
      <c r="E33" s="218">
        <v>0</v>
      </c>
      <c r="F33" s="218">
        <v>0</v>
      </c>
      <c r="G33" s="218">
        <v>0</v>
      </c>
      <c r="H33" s="227">
        <f t="shared" si="3"/>
        <v>0</v>
      </c>
    </row>
    <row r="34" spans="1:10" s="220" customFormat="1" ht="14.15" hidden="1" customHeight="1" x14ac:dyDescent="0.25">
      <c r="A34" s="221" t="str">
        <f>"Taxpayers' and others' equity at " &amp; TEXT(ComparativeYearStart, "d mmmm yyyy") &amp;" - restated"</f>
        <v>Taxpayers' and others' equity at 1 April 2023 - restated</v>
      </c>
      <c r="B34" s="222">
        <f>SUM(B32:B33)</f>
        <v>111571</v>
      </c>
      <c r="C34" s="222">
        <f t="shared" ref="C34:G34" si="4">SUM(C32:C33)</f>
        <v>4210.4480000000003</v>
      </c>
      <c r="D34" s="222">
        <f t="shared" si="4"/>
        <v>0</v>
      </c>
      <c r="E34" s="222">
        <f t="shared" si="4"/>
        <v>0</v>
      </c>
      <c r="F34" s="222">
        <f t="shared" si="4"/>
        <v>0</v>
      </c>
      <c r="G34" s="222">
        <f t="shared" si="4"/>
        <v>-13176.985000000001</v>
      </c>
      <c r="H34" s="222">
        <f t="shared" si="3"/>
        <v>102604.463</v>
      </c>
    </row>
    <row r="35" spans="1:10" s="220" customFormat="1" ht="23" hidden="1" x14ac:dyDescent="0.25">
      <c r="A35" s="216" t="s">
        <v>1446</v>
      </c>
      <c r="B35" s="218">
        <v>0</v>
      </c>
      <c r="C35" s="218">
        <v>0</v>
      </c>
      <c r="D35" s="218">
        <v>0</v>
      </c>
      <c r="E35" s="218">
        <v>0</v>
      </c>
      <c r="F35" s="218">
        <v>0</v>
      </c>
      <c r="G35" s="218">
        <v>0</v>
      </c>
      <c r="H35" s="227">
        <f t="shared" ref="H35" si="5">SUM(B35:G35)</f>
        <v>0</v>
      </c>
    </row>
    <row r="36" spans="1:10" ht="14.15" hidden="1" customHeight="1" x14ac:dyDescent="0.25">
      <c r="A36" s="93" t="s">
        <v>543</v>
      </c>
      <c r="B36" s="50">
        <v>0</v>
      </c>
      <c r="C36" s="50">
        <v>0</v>
      </c>
      <c r="D36" s="50">
        <v>0</v>
      </c>
      <c r="E36" s="50">
        <v>0</v>
      </c>
      <c r="F36" s="50">
        <v>0</v>
      </c>
      <c r="G36" s="50">
        <v>0</v>
      </c>
      <c r="H36" s="50">
        <f t="shared" si="3"/>
        <v>0</v>
      </c>
      <c r="J36" s="220" t="s">
        <v>544</v>
      </c>
    </row>
    <row r="37" spans="1:10" ht="14.15" customHeight="1" x14ac:dyDescent="0.25">
      <c r="A37" s="105" t="s">
        <v>545</v>
      </c>
      <c r="B37" s="179">
        <v>0</v>
      </c>
      <c r="C37" s="179">
        <v>0</v>
      </c>
      <c r="D37" s="179">
        <v>0</v>
      </c>
      <c r="E37" s="179">
        <v>0</v>
      </c>
      <c r="F37" s="179">
        <v>0</v>
      </c>
      <c r="G37" s="179">
        <v>1798</v>
      </c>
      <c r="H37" s="50">
        <f t="shared" si="3"/>
        <v>1798</v>
      </c>
    </row>
    <row r="38" spans="1:10" s="220" customFormat="1" ht="14.15" hidden="1" customHeight="1" x14ac:dyDescent="0.25">
      <c r="A38" s="216" t="s">
        <v>546</v>
      </c>
      <c r="B38" s="228">
        <v>0</v>
      </c>
      <c r="C38" s="228">
        <v>0</v>
      </c>
      <c r="D38" s="228">
        <v>0</v>
      </c>
      <c r="E38" s="228">
        <v>0</v>
      </c>
      <c r="F38" s="228">
        <v>0</v>
      </c>
      <c r="G38" s="228">
        <v>0</v>
      </c>
      <c r="H38" s="227">
        <f t="shared" ref="H38:H55" si="6">SUM(B38:G38)</f>
        <v>0</v>
      </c>
    </row>
    <row r="39" spans="1:10" s="220" customFormat="1" ht="26.5" hidden="1" customHeight="1" x14ac:dyDescent="0.25">
      <c r="A39" s="216" t="s">
        <v>547</v>
      </c>
      <c r="B39" s="218">
        <v>0</v>
      </c>
      <c r="C39" s="218">
        <v>0</v>
      </c>
      <c r="D39" s="218">
        <v>0</v>
      </c>
      <c r="E39" s="218">
        <v>0</v>
      </c>
      <c r="F39" s="218">
        <v>0</v>
      </c>
      <c r="G39" s="218">
        <v>0</v>
      </c>
      <c r="H39" s="227">
        <f t="shared" si="6"/>
        <v>0</v>
      </c>
    </row>
    <row r="40" spans="1:10" ht="14.15" customHeight="1" x14ac:dyDescent="0.25">
      <c r="A40" s="105" t="s">
        <v>548</v>
      </c>
      <c r="B40" s="41">
        <v>0</v>
      </c>
      <c r="C40" s="41">
        <v>-637</v>
      </c>
      <c r="D40" s="41">
        <v>0</v>
      </c>
      <c r="E40" s="41">
        <v>0</v>
      </c>
      <c r="F40" s="41">
        <v>0</v>
      </c>
      <c r="G40" s="41">
        <v>637</v>
      </c>
      <c r="H40" s="50">
        <f t="shared" si="6"/>
        <v>0</v>
      </c>
    </row>
    <row r="41" spans="1:10" ht="14.15" customHeight="1" x14ac:dyDescent="0.25">
      <c r="A41" s="105" t="s">
        <v>549</v>
      </c>
      <c r="B41" s="41">
        <v>0</v>
      </c>
      <c r="C41" s="41">
        <v>458</v>
      </c>
      <c r="D41" s="41">
        <v>0</v>
      </c>
      <c r="E41" s="41">
        <v>0</v>
      </c>
      <c r="F41" s="41">
        <v>0</v>
      </c>
      <c r="G41" s="41">
        <v>0</v>
      </c>
      <c r="H41" s="50">
        <f t="shared" si="6"/>
        <v>458</v>
      </c>
    </row>
    <row r="42" spans="1:10" ht="14.15" customHeight="1" x14ac:dyDescent="0.25">
      <c r="A42" s="105" t="s">
        <v>481</v>
      </c>
      <c r="B42" s="41">
        <v>0</v>
      </c>
      <c r="C42" s="41">
        <v>1541</v>
      </c>
      <c r="D42" s="41">
        <v>0</v>
      </c>
      <c r="E42" s="41">
        <v>0</v>
      </c>
      <c r="F42" s="41">
        <v>0</v>
      </c>
      <c r="G42" s="41">
        <v>0</v>
      </c>
      <c r="H42" s="50">
        <f t="shared" si="6"/>
        <v>1541</v>
      </c>
    </row>
    <row r="43" spans="1:10" s="220" customFormat="1" ht="14.15" hidden="1" customHeight="1" x14ac:dyDescent="0.25">
      <c r="A43" s="216" t="s">
        <v>550</v>
      </c>
      <c r="B43" s="218">
        <v>0</v>
      </c>
      <c r="C43" s="218">
        <v>0</v>
      </c>
      <c r="D43" s="218">
        <v>0</v>
      </c>
      <c r="E43" s="218">
        <v>0</v>
      </c>
      <c r="F43" s="218">
        <v>0</v>
      </c>
      <c r="G43" s="218">
        <v>0</v>
      </c>
      <c r="H43" s="227">
        <f t="shared" ref="H43:H54" si="7">SUM(B43:G43)</f>
        <v>0</v>
      </c>
    </row>
    <row r="44" spans="1:10" s="220" customFormat="1" ht="13.75" hidden="1" customHeight="1" x14ac:dyDescent="0.25">
      <c r="A44" s="216" t="s">
        <v>482</v>
      </c>
      <c r="B44" s="218">
        <v>0</v>
      </c>
      <c r="C44" s="218">
        <v>0</v>
      </c>
      <c r="D44" s="218">
        <v>0</v>
      </c>
      <c r="E44" s="218">
        <v>0</v>
      </c>
      <c r="F44" s="218">
        <v>0</v>
      </c>
      <c r="G44" s="218">
        <v>0</v>
      </c>
      <c r="H44" s="227">
        <f t="shared" si="7"/>
        <v>0</v>
      </c>
    </row>
    <row r="45" spans="1:10" s="220" customFormat="1" ht="24.4" hidden="1" customHeight="1" x14ac:dyDescent="0.25">
      <c r="A45" s="216" t="s">
        <v>488</v>
      </c>
      <c r="B45" s="218">
        <v>0</v>
      </c>
      <c r="C45" s="218">
        <v>0</v>
      </c>
      <c r="D45" s="218">
        <v>0</v>
      </c>
      <c r="E45" s="218">
        <v>0</v>
      </c>
      <c r="F45" s="218">
        <v>0</v>
      </c>
      <c r="G45" s="218">
        <v>0</v>
      </c>
      <c r="H45" s="227">
        <f t="shared" si="7"/>
        <v>0</v>
      </c>
    </row>
    <row r="46" spans="1:10" s="220" customFormat="1" ht="24.4" hidden="1" customHeight="1" x14ac:dyDescent="0.25">
      <c r="A46" s="216" t="s">
        <v>551</v>
      </c>
      <c r="B46" s="218">
        <v>0</v>
      </c>
      <c r="C46" s="218">
        <v>0</v>
      </c>
      <c r="D46" s="218">
        <v>0</v>
      </c>
      <c r="E46" s="218">
        <v>0</v>
      </c>
      <c r="F46" s="218">
        <v>0</v>
      </c>
      <c r="G46" s="218">
        <v>0</v>
      </c>
      <c r="H46" s="227">
        <f t="shared" si="7"/>
        <v>0</v>
      </c>
    </row>
    <row r="47" spans="1:10" s="220" customFormat="1" ht="24.4" hidden="1" customHeight="1" x14ac:dyDescent="0.25">
      <c r="A47" s="216" t="s">
        <v>489</v>
      </c>
      <c r="B47" s="218">
        <v>0</v>
      </c>
      <c r="C47" s="218">
        <v>0</v>
      </c>
      <c r="D47" s="218">
        <v>0</v>
      </c>
      <c r="E47" s="218">
        <v>0</v>
      </c>
      <c r="F47" s="218">
        <v>0</v>
      </c>
      <c r="G47" s="218">
        <v>0</v>
      </c>
      <c r="H47" s="227">
        <f t="shared" si="7"/>
        <v>0</v>
      </c>
    </row>
    <row r="48" spans="1:10" s="220" customFormat="1" ht="13.75" hidden="1" customHeight="1" x14ac:dyDescent="0.25">
      <c r="A48" s="216" t="s">
        <v>552</v>
      </c>
      <c r="B48" s="218">
        <v>0</v>
      </c>
      <c r="C48" s="218">
        <v>0</v>
      </c>
      <c r="D48" s="218">
        <v>0</v>
      </c>
      <c r="E48" s="218">
        <v>0</v>
      </c>
      <c r="F48" s="218">
        <v>0</v>
      </c>
      <c r="G48" s="218">
        <v>0</v>
      </c>
      <c r="H48" s="227">
        <f t="shared" si="7"/>
        <v>0</v>
      </c>
    </row>
    <row r="49" spans="1:13" s="220" customFormat="1" ht="14.15" hidden="1" customHeight="1" x14ac:dyDescent="0.25">
      <c r="A49" s="216" t="s">
        <v>484</v>
      </c>
      <c r="B49" s="218">
        <v>0</v>
      </c>
      <c r="C49" s="218">
        <v>0</v>
      </c>
      <c r="D49" s="218">
        <v>0</v>
      </c>
      <c r="E49" s="218">
        <v>0</v>
      </c>
      <c r="F49" s="218">
        <v>0</v>
      </c>
      <c r="G49" s="218">
        <v>0</v>
      </c>
      <c r="H49" s="227">
        <f t="shared" si="7"/>
        <v>0</v>
      </c>
    </row>
    <row r="50" spans="1:13" s="220" customFormat="1" ht="13.75" hidden="1" customHeight="1" x14ac:dyDescent="0.25">
      <c r="A50" s="224" t="s">
        <v>553</v>
      </c>
      <c r="B50" s="218">
        <v>0</v>
      </c>
      <c r="C50" s="218">
        <v>0</v>
      </c>
      <c r="D50" s="218">
        <v>0</v>
      </c>
      <c r="E50" s="218">
        <v>0</v>
      </c>
      <c r="F50" s="218">
        <v>0</v>
      </c>
      <c r="G50" s="218">
        <v>0</v>
      </c>
      <c r="H50" s="227">
        <f t="shared" si="7"/>
        <v>0</v>
      </c>
    </row>
    <row r="51" spans="1:13" ht="14.15" customHeight="1" x14ac:dyDescent="0.25">
      <c r="A51" s="105" t="s">
        <v>554</v>
      </c>
      <c r="B51" s="41">
        <v>520</v>
      </c>
      <c r="C51" s="41">
        <v>0</v>
      </c>
      <c r="D51" s="41">
        <v>0</v>
      </c>
      <c r="E51" s="41">
        <v>0</v>
      </c>
      <c r="F51" s="41">
        <v>0</v>
      </c>
      <c r="G51" s="41">
        <v>0</v>
      </c>
      <c r="H51" s="50">
        <f t="shared" si="7"/>
        <v>520</v>
      </c>
    </row>
    <row r="52" spans="1:13" s="220" customFormat="1" ht="14.15" hidden="1" customHeight="1" x14ac:dyDescent="0.25">
      <c r="A52" s="216" t="s">
        <v>555</v>
      </c>
      <c r="B52" s="218">
        <v>0</v>
      </c>
      <c r="C52" s="218">
        <v>0</v>
      </c>
      <c r="D52" s="218">
        <v>0</v>
      </c>
      <c r="E52" s="218">
        <v>0</v>
      </c>
      <c r="F52" s="218">
        <v>0</v>
      </c>
      <c r="G52" s="218">
        <v>0</v>
      </c>
      <c r="H52" s="227">
        <f t="shared" si="7"/>
        <v>0</v>
      </c>
    </row>
    <row r="53" spans="1:13" s="220" customFormat="1" ht="14.15" hidden="1" customHeight="1" x14ac:dyDescent="0.25">
      <c r="A53" s="216" t="s">
        <v>556</v>
      </c>
      <c r="B53" s="218">
        <v>0</v>
      </c>
      <c r="C53" s="218">
        <v>0</v>
      </c>
      <c r="D53" s="218">
        <v>0</v>
      </c>
      <c r="E53" s="218">
        <v>0</v>
      </c>
      <c r="F53" s="218">
        <v>0</v>
      </c>
      <c r="G53" s="218">
        <v>0</v>
      </c>
      <c r="H53" s="227">
        <f t="shared" si="7"/>
        <v>0</v>
      </c>
      <c r="M53" s="218"/>
    </row>
    <row r="54" spans="1:13" s="220" customFormat="1" ht="14.15" hidden="1" customHeight="1" x14ac:dyDescent="0.25">
      <c r="A54" s="216" t="s">
        <v>557</v>
      </c>
      <c r="B54" s="218">
        <v>0</v>
      </c>
      <c r="C54" s="218">
        <v>0</v>
      </c>
      <c r="D54" s="218">
        <v>0</v>
      </c>
      <c r="E54" s="218">
        <v>0</v>
      </c>
      <c r="F54" s="218">
        <v>0</v>
      </c>
      <c r="G54" s="218">
        <v>0</v>
      </c>
      <c r="H54" s="227">
        <f t="shared" si="7"/>
        <v>0</v>
      </c>
    </row>
    <row r="55" spans="1:13" s="220" customFormat="1" ht="14.15" hidden="1" customHeight="1" x14ac:dyDescent="0.25">
      <c r="A55" s="216" t="s">
        <v>486</v>
      </c>
      <c r="B55" s="218">
        <v>0</v>
      </c>
      <c r="C55" s="218">
        <v>0</v>
      </c>
      <c r="D55" s="218">
        <v>0</v>
      </c>
      <c r="E55" s="218">
        <v>0</v>
      </c>
      <c r="F55" s="218">
        <v>0</v>
      </c>
      <c r="G55" s="218">
        <v>0</v>
      </c>
      <c r="H55" s="227">
        <f t="shared" si="6"/>
        <v>0</v>
      </c>
    </row>
    <row r="56" spans="1:13" ht="14.15" customHeight="1" thickBot="1" x14ac:dyDescent="0.3">
      <c r="A56" s="93" t="str">
        <f>"Taxpayers' and others' equity at " &amp; TEXT(ComparativeYearEnd, "d mmmm yyyy")</f>
        <v>Taxpayers' and others' equity at 31 March 2024</v>
      </c>
      <c r="B56" s="42">
        <f>SUM(B34:B55)</f>
        <v>112091</v>
      </c>
      <c r="C56" s="42">
        <f t="shared" ref="C56:H56" si="8">SUM(C34:C55)</f>
        <v>5572.4480000000003</v>
      </c>
      <c r="D56" s="42">
        <f t="shared" si="8"/>
        <v>0</v>
      </c>
      <c r="E56" s="42">
        <f t="shared" si="8"/>
        <v>0</v>
      </c>
      <c r="F56" s="42">
        <f t="shared" si="8"/>
        <v>0</v>
      </c>
      <c r="G56" s="42">
        <f t="shared" si="8"/>
        <v>-10741.985000000001</v>
      </c>
      <c r="H56" s="42">
        <f t="shared" si="8"/>
        <v>106921.463</v>
      </c>
    </row>
    <row r="57" spans="1:13" ht="12" thickTop="1" x14ac:dyDescent="0.25">
      <c r="A57" s="10"/>
    </row>
    <row r="58" spans="1:13" x14ac:dyDescent="0.25">
      <c r="A58" s="430" t="s">
        <v>1765</v>
      </c>
      <c r="B58" s="430"/>
      <c r="C58" s="430"/>
      <c r="D58" s="430"/>
      <c r="E58" s="430"/>
      <c r="F58" s="430"/>
      <c r="G58" s="430"/>
      <c r="H58" s="430"/>
    </row>
    <row r="59" spans="1:13" x14ac:dyDescent="0.25">
      <c r="A59" s="430"/>
      <c r="B59" s="430"/>
      <c r="C59" s="430"/>
      <c r="D59" s="430"/>
      <c r="E59" s="430"/>
      <c r="F59" s="430"/>
      <c r="G59" s="430"/>
      <c r="H59" s="430"/>
    </row>
    <row r="60" spans="1:13" x14ac:dyDescent="0.25">
      <c r="A60" s="430"/>
      <c r="B60" s="430"/>
      <c r="C60" s="430"/>
      <c r="D60" s="430"/>
      <c r="E60" s="430"/>
      <c r="F60" s="430"/>
      <c r="G60" s="430"/>
      <c r="H60" s="430"/>
    </row>
    <row r="61" spans="1:13" x14ac:dyDescent="0.25">
      <c r="A61" s="430"/>
      <c r="B61" s="430"/>
      <c r="C61" s="430"/>
      <c r="D61" s="430"/>
      <c r="E61" s="430"/>
      <c r="F61" s="430"/>
      <c r="G61" s="430"/>
      <c r="H61" s="430"/>
    </row>
    <row r="62" spans="1:13" x14ac:dyDescent="0.25">
      <c r="A62" s="430"/>
      <c r="B62" s="430"/>
      <c r="C62" s="430"/>
      <c r="D62" s="430"/>
      <c r="E62" s="430"/>
      <c r="F62" s="430"/>
      <c r="G62" s="430"/>
      <c r="H62" s="430"/>
    </row>
    <row r="63" spans="1:13" x14ac:dyDescent="0.25">
      <c r="A63" s="430"/>
      <c r="B63" s="430"/>
      <c r="C63" s="430"/>
      <c r="D63" s="430"/>
      <c r="E63" s="430"/>
      <c r="F63" s="430"/>
      <c r="G63" s="430"/>
      <c r="H63" s="430"/>
    </row>
    <row r="64" spans="1:13" x14ac:dyDescent="0.25">
      <c r="A64" s="430"/>
      <c r="B64" s="430"/>
      <c r="C64" s="430"/>
      <c r="D64" s="430"/>
      <c r="E64" s="430"/>
      <c r="F64" s="430"/>
      <c r="G64" s="430"/>
      <c r="H64" s="430"/>
    </row>
    <row r="65" spans="1:8" x14ac:dyDescent="0.25">
      <c r="A65" s="430"/>
      <c r="B65" s="430"/>
      <c r="C65" s="430"/>
      <c r="D65" s="430"/>
      <c r="E65" s="430"/>
      <c r="F65" s="430"/>
      <c r="G65" s="430"/>
      <c r="H65" s="430"/>
    </row>
    <row r="66" spans="1:8" x14ac:dyDescent="0.25">
      <c r="A66" s="430"/>
      <c r="B66" s="430"/>
      <c r="C66" s="430"/>
      <c r="D66" s="430"/>
      <c r="E66" s="430"/>
      <c r="F66" s="430"/>
      <c r="G66" s="430"/>
      <c r="H66" s="430"/>
    </row>
    <row r="67" spans="1:8" x14ac:dyDescent="0.25">
      <c r="A67" s="430"/>
      <c r="B67" s="430"/>
      <c r="C67" s="430"/>
      <c r="D67" s="430"/>
      <c r="E67" s="430"/>
      <c r="F67" s="430"/>
      <c r="G67" s="430"/>
      <c r="H67" s="430"/>
    </row>
    <row r="68" spans="1:8" x14ac:dyDescent="0.25">
      <c r="A68" s="430"/>
      <c r="B68" s="430"/>
      <c r="C68" s="430"/>
      <c r="D68" s="430"/>
      <c r="E68" s="430"/>
      <c r="F68" s="430"/>
      <c r="G68" s="430"/>
      <c r="H68" s="430"/>
    </row>
    <row r="69" spans="1:8" x14ac:dyDescent="0.25">
      <c r="A69" s="430"/>
      <c r="B69" s="430"/>
      <c r="C69" s="430"/>
      <c r="D69" s="430"/>
      <c r="E69" s="430"/>
      <c r="F69" s="430"/>
      <c r="G69" s="430"/>
      <c r="H69" s="430"/>
    </row>
    <row r="70" spans="1:8" x14ac:dyDescent="0.25">
      <c r="A70" s="430"/>
      <c r="B70" s="430"/>
      <c r="C70" s="430"/>
      <c r="D70" s="430"/>
      <c r="E70" s="430"/>
      <c r="F70" s="430"/>
      <c r="G70" s="430"/>
      <c r="H70" s="430"/>
    </row>
    <row r="71" spans="1:8" x14ac:dyDescent="0.25">
      <c r="A71" s="430"/>
      <c r="B71" s="430"/>
      <c r="C71" s="430"/>
      <c r="D71" s="430"/>
      <c r="E71" s="430"/>
      <c r="F71" s="430"/>
      <c r="G71" s="430"/>
      <c r="H71" s="430"/>
    </row>
    <row r="72" spans="1:8" x14ac:dyDescent="0.25">
      <c r="A72" s="430"/>
      <c r="B72" s="430"/>
      <c r="C72" s="430"/>
      <c r="D72" s="430"/>
      <c r="E72" s="430"/>
      <c r="F72" s="430"/>
      <c r="G72" s="430"/>
      <c r="H72" s="430"/>
    </row>
    <row r="73" spans="1:8" x14ac:dyDescent="0.25">
      <c r="A73" s="430"/>
      <c r="B73" s="430"/>
      <c r="C73" s="430"/>
      <c r="D73" s="430"/>
      <c r="E73" s="430"/>
      <c r="F73" s="430"/>
      <c r="G73" s="430"/>
      <c r="H73" s="430"/>
    </row>
    <row r="74" spans="1:8" x14ac:dyDescent="0.25">
      <c r="A74" s="430"/>
      <c r="B74" s="430"/>
      <c r="C74" s="430"/>
      <c r="D74" s="430"/>
      <c r="E74" s="430"/>
      <c r="F74" s="430"/>
      <c r="G74" s="430"/>
      <c r="H74" s="430"/>
    </row>
    <row r="75" spans="1:8" ht="9.75" customHeight="1" x14ac:dyDescent="0.25">
      <c r="A75" s="430"/>
      <c r="B75" s="430"/>
      <c r="C75" s="430"/>
      <c r="D75" s="430"/>
      <c r="E75" s="430"/>
      <c r="F75" s="430"/>
      <c r="G75" s="430"/>
      <c r="H75" s="430"/>
    </row>
    <row r="76" spans="1:8" ht="6" hidden="1" customHeight="1" x14ac:dyDescent="0.25">
      <c r="A76" s="430"/>
      <c r="B76" s="430"/>
      <c r="C76" s="430"/>
      <c r="D76" s="430"/>
      <c r="E76" s="430"/>
      <c r="F76" s="430"/>
      <c r="G76" s="430"/>
      <c r="H76" s="430"/>
    </row>
    <row r="77" spans="1:8" hidden="1" x14ac:dyDescent="0.25">
      <c r="A77" s="430"/>
      <c r="B77" s="430"/>
      <c r="C77" s="430"/>
      <c r="D77" s="430"/>
      <c r="E77" s="430"/>
      <c r="F77" s="430"/>
      <c r="G77" s="430"/>
      <c r="H77" s="430"/>
    </row>
    <row r="78" spans="1:8" hidden="1" x14ac:dyDescent="0.25">
      <c r="A78" s="430"/>
      <c r="B78" s="430"/>
      <c r="C78" s="430"/>
      <c r="D78" s="430"/>
      <c r="E78" s="430"/>
      <c r="F78" s="430"/>
      <c r="G78" s="430"/>
      <c r="H78" s="430"/>
    </row>
    <row r="79" spans="1:8" hidden="1" x14ac:dyDescent="0.25">
      <c r="A79" s="430"/>
      <c r="B79" s="430"/>
      <c r="C79" s="430"/>
      <c r="D79" s="430"/>
      <c r="E79" s="430"/>
      <c r="F79" s="430"/>
      <c r="G79" s="430"/>
      <c r="H79" s="430"/>
    </row>
    <row r="80" spans="1:8" hidden="1" x14ac:dyDescent="0.25">
      <c r="A80" s="430"/>
      <c r="B80" s="430"/>
      <c r="C80" s="430"/>
      <c r="D80" s="430"/>
      <c r="E80" s="430"/>
      <c r="F80" s="430"/>
      <c r="G80" s="430"/>
      <c r="H80" s="430"/>
    </row>
    <row r="81" spans="1:8" hidden="1" x14ac:dyDescent="0.25">
      <c r="A81" s="430"/>
      <c r="B81" s="430"/>
      <c r="C81" s="430"/>
      <c r="D81" s="430"/>
      <c r="E81" s="430"/>
      <c r="F81" s="430"/>
      <c r="G81" s="430"/>
      <c r="H81" s="430"/>
    </row>
    <row r="82" spans="1:8" hidden="1" x14ac:dyDescent="0.25">
      <c r="A82" s="430"/>
      <c r="B82" s="430"/>
      <c r="C82" s="430"/>
      <c r="D82" s="430"/>
      <c r="E82" s="430"/>
      <c r="F82" s="430"/>
      <c r="G82" s="430"/>
      <c r="H82" s="430"/>
    </row>
    <row r="83" spans="1:8" hidden="1" x14ac:dyDescent="0.25">
      <c r="A83" s="430"/>
      <c r="B83" s="430"/>
      <c r="C83" s="430"/>
      <c r="D83" s="430"/>
      <c r="E83" s="430"/>
      <c r="F83" s="430"/>
      <c r="G83" s="430"/>
      <c r="H83" s="430"/>
    </row>
    <row r="84" spans="1:8" hidden="1" x14ac:dyDescent="0.25">
      <c r="A84" s="430"/>
      <c r="B84" s="430"/>
      <c r="C84" s="430"/>
      <c r="D84" s="430"/>
      <c r="E84" s="430"/>
      <c r="F84" s="430"/>
      <c r="G84" s="430"/>
      <c r="H84" s="430"/>
    </row>
    <row r="85" spans="1:8" hidden="1" x14ac:dyDescent="0.25">
      <c r="A85" s="430"/>
      <c r="B85" s="430"/>
      <c r="C85" s="430"/>
      <c r="D85" s="430"/>
      <c r="E85" s="430"/>
      <c r="F85" s="430"/>
      <c r="G85" s="430"/>
      <c r="H85" s="430"/>
    </row>
    <row r="86" spans="1:8" hidden="1" x14ac:dyDescent="0.25">
      <c r="A86" s="430"/>
      <c r="B86" s="430"/>
      <c r="C86" s="430"/>
      <c r="D86" s="430"/>
      <c r="E86" s="430"/>
      <c r="F86" s="430"/>
      <c r="G86" s="430"/>
      <c r="H86" s="430"/>
    </row>
    <row r="87" spans="1:8" hidden="1" x14ac:dyDescent="0.25">
      <c r="A87" s="430"/>
      <c r="B87" s="430"/>
      <c r="C87" s="430"/>
      <c r="D87" s="430"/>
      <c r="E87" s="430"/>
      <c r="F87" s="430"/>
      <c r="G87" s="430"/>
      <c r="H87" s="430"/>
    </row>
  </sheetData>
  <mergeCells count="1">
    <mergeCell ref="A58:H87"/>
  </mergeCells>
  <pageMargins left="0.59055118110236227" right="0.59055118110236227" top="0.59055118110236227" bottom="0.59055118110236227" header="0" footer="0"/>
  <pageSetup paperSize="9" scale="99" orientation="portrait" r:id="rId1"/>
  <headerFooter>
    <oddFooter>Page &amp;P</oddFooter>
  </headerFooter>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92D050"/>
  </sheetPr>
  <dimension ref="B1:O60"/>
  <sheetViews>
    <sheetView workbookViewId="0"/>
  </sheetViews>
  <sheetFormatPr defaultColWidth="9.1796875" defaultRowHeight="14.15" customHeight="1" x14ac:dyDescent="0.35"/>
  <cols>
    <col min="1" max="1" width="1" style="2" customWidth="1"/>
    <col min="2" max="2" width="54.54296875" style="9" customWidth="1"/>
    <col min="3" max="3" width="8" style="104" customWidth="1"/>
    <col min="4" max="4" width="11.26953125" style="2" customWidth="1"/>
    <col min="5" max="5" width="0.81640625" style="41" customWidth="1"/>
    <col min="6" max="6" width="11.26953125" style="2" customWidth="1"/>
    <col min="7" max="7" width="11" style="2" hidden="1" customWidth="1"/>
    <col min="8" max="10" width="0" hidden="1" customWidth="1"/>
    <col min="11" max="15" width="0" style="2" hidden="1" customWidth="1"/>
    <col min="16" max="16384" width="9.1796875" style="2"/>
  </cols>
  <sheetData>
    <row r="1" spans="2:15" ht="17.5" customHeight="1" thickBot="1" x14ac:dyDescent="0.4">
      <c r="B1" s="113" t="s">
        <v>559</v>
      </c>
      <c r="C1" s="159"/>
      <c r="E1" s="2"/>
      <c r="G1" s="158" t="s">
        <v>560</v>
      </c>
      <c r="H1" s="157"/>
      <c r="I1" s="157"/>
      <c r="J1" s="157"/>
      <c r="K1" s="157"/>
      <c r="L1" s="157"/>
      <c r="M1" s="157"/>
      <c r="N1" s="156"/>
      <c r="O1" s="156"/>
    </row>
    <row r="2" spans="2:15" ht="14.15" customHeight="1" x14ac:dyDescent="0.35">
      <c r="B2" s="14"/>
      <c r="C2" s="89"/>
      <c r="D2" s="80" t="str">
        <f>CurrentFY</f>
        <v>2024/25</v>
      </c>
      <c r="F2" s="80" t="str">
        <f>ComparativeFY</f>
        <v>2023/24</v>
      </c>
    </row>
    <row r="3" spans="2:15" ht="14.15" customHeight="1" x14ac:dyDescent="0.35">
      <c r="B3" s="14"/>
      <c r="C3" s="377" t="s">
        <v>461</v>
      </c>
      <c r="D3" s="80" t="s">
        <v>542</v>
      </c>
      <c r="F3" s="80" t="s">
        <v>542</v>
      </c>
    </row>
    <row r="4" spans="2:15" ht="14.15" customHeight="1" x14ac:dyDescent="0.35">
      <c r="B4" s="93" t="s">
        <v>561</v>
      </c>
      <c r="C4" s="89"/>
      <c r="D4" s="14"/>
      <c r="F4" s="14"/>
    </row>
    <row r="5" spans="2:15" ht="14.15" customHeight="1" x14ac:dyDescent="0.35">
      <c r="B5" s="105" t="s">
        <v>562</v>
      </c>
      <c r="C5" s="91"/>
      <c r="D5" s="41">
        <v>1768</v>
      </c>
      <c r="F5" s="41">
        <v>-1270</v>
      </c>
    </row>
    <row r="6" spans="2:15" ht="14.15" customHeight="1" x14ac:dyDescent="0.35">
      <c r="B6" s="93" t="s">
        <v>563</v>
      </c>
      <c r="C6" s="89"/>
      <c r="D6" s="41"/>
      <c r="F6" s="41"/>
    </row>
    <row r="7" spans="2:15" ht="14.15" customHeight="1" x14ac:dyDescent="0.35">
      <c r="B7" s="112" t="s">
        <v>564</v>
      </c>
      <c r="C7" s="393" t="s">
        <v>1749</v>
      </c>
      <c r="D7" s="41">
        <v>22314</v>
      </c>
      <c r="F7" s="41">
        <v>21710</v>
      </c>
    </row>
    <row r="8" spans="2:15" ht="14.15" customHeight="1" x14ac:dyDescent="0.35">
      <c r="B8" s="112" t="s">
        <v>565</v>
      </c>
      <c r="C8" s="91">
        <f>'7-8 Impair&amp;Pay'!A21</f>
        <v>7</v>
      </c>
      <c r="D8" s="41">
        <v>854</v>
      </c>
      <c r="F8" s="41">
        <v>3664</v>
      </c>
    </row>
    <row r="9" spans="2:15" s="220" customFormat="1" ht="13.75" hidden="1" customHeight="1" x14ac:dyDescent="0.35">
      <c r="B9" s="216" t="s">
        <v>566</v>
      </c>
      <c r="C9" s="91">
        <f>'Op Inc 2'!A9</f>
        <v>4</v>
      </c>
      <c r="D9" s="218">
        <v>0</v>
      </c>
      <c r="E9" s="218"/>
      <c r="F9" s="218">
        <v>0</v>
      </c>
      <c r="H9" s="237"/>
      <c r="I9" s="237"/>
      <c r="J9" s="237"/>
    </row>
    <row r="10" spans="2:15" s="220" customFormat="1" ht="14.15" hidden="1" customHeight="1" x14ac:dyDescent="0.35">
      <c r="B10" s="224" t="s">
        <v>567</v>
      </c>
      <c r="C10" s="91"/>
      <c r="D10" s="218">
        <v>0</v>
      </c>
      <c r="E10" s="218"/>
      <c r="F10" s="218">
        <v>0</v>
      </c>
      <c r="H10" s="237"/>
      <c r="I10" s="237"/>
      <c r="J10" s="237"/>
    </row>
    <row r="11" spans="2:15" s="220" customFormat="1" ht="14.15" hidden="1" customHeight="1" x14ac:dyDescent="0.35">
      <c r="B11" s="224" t="s">
        <v>568</v>
      </c>
      <c r="C11" s="91"/>
      <c r="D11" s="218">
        <v>0</v>
      </c>
      <c r="E11" s="218"/>
      <c r="F11" s="218">
        <v>0</v>
      </c>
      <c r="H11" s="237"/>
      <c r="I11" s="237"/>
      <c r="J11" s="237"/>
    </row>
    <row r="12" spans="2:15" ht="14.15" customHeight="1" x14ac:dyDescent="0.35">
      <c r="B12" s="112" t="s">
        <v>569</v>
      </c>
      <c r="C12" s="91"/>
      <c r="D12" s="41">
        <v>-598</v>
      </c>
      <c r="F12" s="41">
        <v>13797</v>
      </c>
    </row>
    <row r="13" spans="2:15" ht="14.15" customHeight="1" x14ac:dyDescent="0.35">
      <c r="B13" s="112" t="s">
        <v>570</v>
      </c>
      <c r="C13" s="91"/>
      <c r="D13" s="41">
        <v>142</v>
      </c>
      <c r="F13" s="41">
        <v>212</v>
      </c>
    </row>
    <row r="14" spans="2:15" ht="14.15" customHeight="1" x14ac:dyDescent="0.35">
      <c r="B14" s="112" t="s">
        <v>571</v>
      </c>
      <c r="C14" s="91"/>
      <c r="D14" s="41">
        <v>-4844</v>
      </c>
      <c r="F14" s="41">
        <v>-16601</v>
      </c>
    </row>
    <row r="15" spans="2:15" ht="14.15" customHeight="1" x14ac:dyDescent="0.35">
      <c r="B15" s="112" t="s">
        <v>572</v>
      </c>
      <c r="C15" s="91"/>
      <c r="D15" s="41">
        <v>2459</v>
      </c>
      <c r="F15" s="41">
        <v>-95</v>
      </c>
    </row>
    <row r="16" spans="2:15" s="220" customFormat="1" ht="14.15" hidden="1" customHeight="1" x14ac:dyDescent="0.35">
      <c r="B16" s="224" t="s">
        <v>573</v>
      </c>
      <c r="C16" s="91"/>
      <c r="D16" s="218">
        <v>0</v>
      </c>
      <c r="E16" s="218"/>
      <c r="F16" s="218">
        <v>0</v>
      </c>
      <c r="H16" s="237"/>
      <c r="I16" s="237"/>
      <c r="J16" s="237"/>
    </row>
    <row r="17" spans="2:10" s="220" customFormat="1" ht="14.15" hidden="1" customHeight="1" x14ac:dyDescent="0.35">
      <c r="B17" s="224" t="s">
        <v>574</v>
      </c>
      <c r="C17" s="91"/>
      <c r="D17" s="218">
        <v>0</v>
      </c>
      <c r="E17" s="218"/>
      <c r="F17" s="218">
        <v>0</v>
      </c>
      <c r="H17" s="237"/>
      <c r="I17" s="237"/>
      <c r="J17" s="237"/>
    </row>
    <row r="18" spans="2:10" s="220" customFormat="1" ht="14.15" hidden="1" customHeight="1" x14ac:dyDescent="0.35">
      <c r="B18" s="224" t="s">
        <v>575</v>
      </c>
      <c r="C18" s="91"/>
      <c r="D18" s="218">
        <v>0</v>
      </c>
      <c r="E18" s="218"/>
      <c r="F18" s="218">
        <v>0</v>
      </c>
      <c r="H18" s="237"/>
      <c r="I18" s="237"/>
      <c r="J18" s="237"/>
    </row>
    <row r="19" spans="2:10" ht="14.15" customHeight="1" x14ac:dyDescent="0.35">
      <c r="B19" s="93" t="s">
        <v>576</v>
      </c>
      <c r="C19" s="89"/>
      <c r="D19" s="43">
        <f>SUM(D5:D18)</f>
        <v>22095</v>
      </c>
      <c r="F19" s="43">
        <f>SUM(F5:F18)</f>
        <v>21417</v>
      </c>
    </row>
    <row r="20" spans="2:10" ht="14.15" customHeight="1" x14ac:dyDescent="0.35">
      <c r="B20" s="93" t="s">
        <v>577</v>
      </c>
      <c r="C20" s="89"/>
      <c r="D20" s="41"/>
      <c r="F20" s="41"/>
    </row>
    <row r="21" spans="2:10" ht="14.15" customHeight="1" x14ac:dyDescent="0.35">
      <c r="B21" s="105" t="s">
        <v>578</v>
      </c>
      <c r="C21" s="91"/>
      <c r="D21" s="41">
        <v>4405</v>
      </c>
      <c r="F21" s="41">
        <v>4297</v>
      </c>
    </row>
    <row r="22" spans="2:10" s="220" customFormat="1" ht="14.15" hidden="1" customHeight="1" x14ac:dyDescent="0.35">
      <c r="B22" s="216" t="s">
        <v>579</v>
      </c>
      <c r="C22" s="91"/>
      <c r="D22" s="218">
        <v>0</v>
      </c>
      <c r="E22" s="218"/>
      <c r="F22" s="218">
        <v>0</v>
      </c>
      <c r="H22" s="237"/>
      <c r="I22" s="237"/>
      <c r="J22" s="237"/>
    </row>
    <row r="23" spans="2:10" ht="14.15" customHeight="1" x14ac:dyDescent="0.35">
      <c r="B23" s="105" t="s">
        <v>580</v>
      </c>
      <c r="C23" s="91"/>
      <c r="D23" s="41">
        <v>0</v>
      </c>
      <c r="F23" s="41">
        <v>-1384</v>
      </c>
    </row>
    <row r="24" spans="2:10" s="220" customFormat="1" ht="14.15" hidden="1" customHeight="1" x14ac:dyDescent="0.35">
      <c r="B24" s="216" t="s">
        <v>581</v>
      </c>
      <c r="C24" s="91"/>
      <c r="D24" s="218">
        <v>0</v>
      </c>
      <c r="E24" s="218"/>
      <c r="F24" s="218">
        <v>0</v>
      </c>
      <c r="H24" s="237"/>
      <c r="I24" s="237"/>
      <c r="J24" s="237"/>
    </row>
    <row r="25" spans="2:10" ht="13.75" customHeight="1" x14ac:dyDescent="0.35">
      <c r="B25" s="105" t="s">
        <v>582</v>
      </c>
      <c r="C25" s="91">
        <v>1</v>
      </c>
      <c r="D25" s="41">
        <v>-25248</v>
      </c>
      <c r="F25" s="41">
        <v>-23168</v>
      </c>
    </row>
    <row r="26" spans="2:10" ht="13.75" customHeight="1" x14ac:dyDescent="0.35">
      <c r="B26" s="105" t="s">
        <v>583</v>
      </c>
      <c r="C26" s="91"/>
      <c r="D26" s="41">
        <v>1054</v>
      </c>
      <c r="F26" s="41">
        <v>35</v>
      </c>
    </row>
    <row r="27" spans="2:10" ht="13.75" customHeight="1" x14ac:dyDescent="0.35">
      <c r="B27" s="190" t="s">
        <v>1326</v>
      </c>
      <c r="C27" s="91"/>
      <c r="D27" s="41">
        <v>-605</v>
      </c>
      <c r="F27" s="41">
        <v>-636</v>
      </c>
    </row>
    <row r="28" spans="2:10" s="220" customFormat="1" ht="13.75" hidden="1" customHeight="1" x14ac:dyDescent="0.35">
      <c r="B28" s="238" t="s">
        <v>1327</v>
      </c>
      <c r="C28" s="91"/>
      <c r="D28" s="218">
        <v>0</v>
      </c>
      <c r="E28" s="218"/>
      <c r="F28" s="218">
        <v>0</v>
      </c>
      <c r="H28" s="237"/>
      <c r="I28" s="237"/>
      <c r="J28" s="237"/>
    </row>
    <row r="29" spans="2:10" s="220" customFormat="1" ht="13.75" hidden="1" customHeight="1" x14ac:dyDescent="0.35">
      <c r="B29" s="238" t="s">
        <v>1328</v>
      </c>
      <c r="C29" s="91"/>
      <c r="D29" s="218">
        <v>0</v>
      </c>
      <c r="E29" s="218"/>
      <c r="F29" s="218">
        <v>0</v>
      </c>
      <c r="H29" s="237"/>
      <c r="I29" s="237"/>
      <c r="J29" s="237"/>
    </row>
    <row r="30" spans="2:10" s="220" customFormat="1" ht="14.15" hidden="1" customHeight="1" x14ac:dyDescent="0.35">
      <c r="B30" s="216" t="s">
        <v>584</v>
      </c>
      <c r="C30" s="91"/>
      <c r="D30" s="218">
        <v>0</v>
      </c>
      <c r="E30" s="218"/>
      <c r="F30" s="218">
        <v>0</v>
      </c>
      <c r="G30" s="216"/>
      <c r="H30" s="237"/>
      <c r="I30" s="237"/>
      <c r="J30" s="237"/>
    </row>
    <row r="31" spans="2:10" s="220" customFormat="1" ht="14.15" hidden="1" customHeight="1" x14ac:dyDescent="0.35">
      <c r="B31" s="216" t="s">
        <v>585</v>
      </c>
      <c r="C31" s="91"/>
      <c r="D31" s="218">
        <v>0</v>
      </c>
      <c r="E31" s="218"/>
      <c r="F31" s="218">
        <v>0</v>
      </c>
      <c r="H31" s="237"/>
      <c r="I31" s="237"/>
      <c r="J31" s="237"/>
    </row>
    <row r="32" spans="2:10" s="220" customFormat="1" ht="14.15" hidden="1" customHeight="1" x14ac:dyDescent="0.35">
      <c r="B32" s="238" t="s">
        <v>1329</v>
      </c>
      <c r="C32" s="91"/>
      <c r="D32" s="218">
        <v>0</v>
      </c>
      <c r="E32" s="218"/>
      <c r="F32" s="218">
        <v>0</v>
      </c>
      <c r="H32" s="237"/>
      <c r="I32" s="237"/>
      <c r="J32" s="237"/>
    </row>
    <row r="33" spans="2:10" s="220" customFormat="1" ht="14.15" hidden="1" customHeight="1" x14ac:dyDescent="0.35">
      <c r="B33" s="216" t="s">
        <v>586</v>
      </c>
      <c r="C33" s="91"/>
      <c r="D33" s="218">
        <v>0</v>
      </c>
      <c r="E33" s="218"/>
      <c r="F33" s="218">
        <v>0</v>
      </c>
      <c r="H33" s="237"/>
      <c r="I33" s="237"/>
      <c r="J33" s="237"/>
    </row>
    <row r="34" spans="2:10" s="220" customFormat="1" ht="13.75" hidden="1" customHeight="1" x14ac:dyDescent="0.35">
      <c r="B34" s="216" t="s">
        <v>587</v>
      </c>
      <c r="C34" s="91"/>
      <c r="D34" s="218">
        <v>0</v>
      </c>
      <c r="E34" s="218"/>
      <c r="F34" s="218">
        <v>0</v>
      </c>
      <c r="H34" s="237"/>
      <c r="I34" s="237"/>
      <c r="J34" s="237"/>
    </row>
    <row r="35" spans="2:10" ht="14.15" customHeight="1" x14ac:dyDescent="0.35">
      <c r="B35" s="93" t="s">
        <v>588</v>
      </c>
      <c r="C35" s="89"/>
      <c r="D35" s="43">
        <f>SUM(D21:D34)</f>
        <v>-20394</v>
      </c>
      <c r="F35" s="43">
        <f>SUM(F21:F34)</f>
        <v>-20856</v>
      </c>
    </row>
    <row r="36" spans="2:10" ht="14.15" customHeight="1" x14ac:dyDescent="0.35">
      <c r="B36" s="93" t="s">
        <v>589</v>
      </c>
      <c r="C36" s="89"/>
      <c r="D36" s="41"/>
      <c r="F36" s="41"/>
    </row>
    <row r="37" spans="2:10" ht="14.15" customHeight="1" x14ac:dyDescent="0.35">
      <c r="B37" s="112" t="s">
        <v>554</v>
      </c>
      <c r="C37" s="91"/>
      <c r="D37" s="41">
        <v>216</v>
      </c>
      <c r="F37" s="41">
        <v>520</v>
      </c>
    </row>
    <row r="38" spans="2:10" s="220" customFormat="1" ht="14.15" hidden="1" customHeight="1" x14ac:dyDescent="0.35">
      <c r="B38" s="224" t="s">
        <v>555</v>
      </c>
      <c r="C38" s="91"/>
      <c r="D38" s="218">
        <v>0</v>
      </c>
      <c r="E38" s="218"/>
      <c r="F38" s="218">
        <v>0</v>
      </c>
      <c r="H38" s="237"/>
      <c r="I38" s="237"/>
      <c r="J38" s="237"/>
    </row>
    <row r="39" spans="2:10" s="220" customFormat="1" ht="14.15" hidden="1" customHeight="1" x14ac:dyDescent="0.35">
      <c r="B39" s="224" t="s">
        <v>590</v>
      </c>
      <c r="C39" s="91"/>
      <c r="D39" s="218">
        <v>0</v>
      </c>
      <c r="E39" s="218"/>
      <c r="F39" s="218">
        <v>0</v>
      </c>
      <c r="H39" s="237"/>
      <c r="I39" s="237"/>
      <c r="J39" s="237"/>
    </row>
    <row r="40" spans="2:10" s="220" customFormat="1" ht="14.15" hidden="1" customHeight="1" x14ac:dyDescent="0.35">
      <c r="B40" s="224" t="s">
        <v>591</v>
      </c>
      <c r="C40" s="91"/>
      <c r="D40" s="218">
        <v>0</v>
      </c>
      <c r="E40" s="218"/>
      <c r="F40" s="218">
        <v>0</v>
      </c>
      <c r="H40" s="237"/>
      <c r="I40" s="237"/>
      <c r="J40" s="237"/>
    </row>
    <row r="41" spans="2:10" s="220" customFormat="1" ht="14.15" hidden="1" customHeight="1" x14ac:dyDescent="0.35">
      <c r="B41" s="224" t="s">
        <v>592</v>
      </c>
      <c r="C41" s="91"/>
      <c r="D41" s="218">
        <v>0</v>
      </c>
      <c r="E41" s="218"/>
      <c r="F41" s="218">
        <v>0</v>
      </c>
      <c r="H41" s="237"/>
      <c r="I41" s="237"/>
      <c r="J41" s="237"/>
    </row>
    <row r="42" spans="2:10" ht="14.15" customHeight="1" x14ac:dyDescent="0.35">
      <c r="B42" s="112" t="s">
        <v>1537</v>
      </c>
      <c r="C42" s="91"/>
      <c r="D42" s="41">
        <v>-3064</v>
      </c>
      <c r="F42" s="41">
        <v>-3181</v>
      </c>
    </row>
    <row r="43" spans="2:10" s="220" customFormat="1" ht="13.75" hidden="1" customHeight="1" x14ac:dyDescent="0.35">
      <c r="B43" s="216" t="s">
        <v>593</v>
      </c>
      <c r="C43" s="91"/>
      <c r="D43" s="218">
        <v>0</v>
      </c>
      <c r="E43" s="218"/>
      <c r="F43" s="218">
        <v>0</v>
      </c>
      <c r="H43" s="237"/>
      <c r="I43" s="237"/>
      <c r="J43" s="237"/>
    </row>
    <row r="44" spans="2:10" s="220" customFormat="1" ht="13.75" hidden="1" customHeight="1" x14ac:dyDescent="0.35">
      <c r="B44" s="216" t="s">
        <v>594</v>
      </c>
      <c r="C44" s="91"/>
      <c r="D44" s="218">
        <v>0</v>
      </c>
      <c r="E44" s="218"/>
      <c r="F44" s="218">
        <v>0</v>
      </c>
      <c r="H44" s="237"/>
      <c r="I44" s="237"/>
      <c r="J44" s="237"/>
    </row>
    <row r="45" spans="2:10" s="220" customFormat="1" ht="13.75" hidden="1" customHeight="1" x14ac:dyDescent="0.35">
      <c r="B45" s="216" t="s">
        <v>595</v>
      </c>
      <c r="C45" s="91"/>
      <c r="D45" s="218">
        <v>0</v>
      </c>
      <c r="E45" s="218"/>
      <c r="F45" s="218">
        <v>0</v>
      </c>
      <c r="H45" s="237"/>
      <c r="I45" s="237"/>
      <c r="J45" s="237"/>
    </row>
    <row r="46" spans="2:10" ht="13.75" customHeight="1" x14ac:dyDescent="0.35">
      <c r="B46" s="112" t="s">
        <v>1538</v>
      </c>
      <c r="C46" s="91"/>
      <c r="D46" s="41">
        <v>-285</v>
      </c>
      <c r="F46" s="41">
        <v>-191</v>
      </c>
    </row>
    <row r="47" spans="2:10" s="220" customFormat="1" ht="13.75" hidden="1" customHeight="1" x14ac:dyDescent="0.35">
      <c r="B47" s="216" t="s">
        <v>596</v>
      </c>
      <c r="C47" s="91"/>
      <c r="D47" s="218">
        <v>0</v>
      </c>
      <c r="E47" s="218"/>
      <c r="F47" s="218">
        <v>0</v>
      </c>
      <c r="H47" s="237"/>
      <c r="I47" s="237"/>
      <c r="J47" s="237"/>
    </row>
    <row r="48" spans="2:10" ht="14.15" customHeight="1" x14ac:dyDescent="0.35">
      <c r="B48" s="112" t="s">
        <v>597</v>
      </c>
      <c r="C48" s="91"/>
      <c r="D48" s="41">
        <v>-486</v>
      </c>
      <c r="F48" s="41">
        <v>-434</v>
      </c>
    </row>
    <row r="49" spans="2:10" s="220" customFormat="1" ht="14.15" hidden="1" customHeight="1" x14ac:dyDescent="0.35">
      <c r="B49" s="224" t="s">
        <v>598</v>
      </c>
      <c r="C49" s="91"/>
      <c r="D49" s="218">
        <v>0</v>
      </c>
      <c r="E49" s="218"/>
      <c r="F49" s="218">
        <v>0</v>
      </c>
      <c r="H49" s="237"/>
      <c r="I49" s="237"/>
      <c r="J49" s="237"/>
    </row>
    <row r="50" spans="2:10" s="220" customFormat="1" ht="14.15" hidden="1" customHeight="1" x14ac:dyDescent="0.35">
      <c r="B50" s="224" t="s">
        <v>599</v>
      </c>
      <c r="C50" s="91"/>
      <c r="D50" s="218">
        <v>0</v>
      </c>
      <c r="E50" s="218"/>
      <c r="F50" s="218">
        <v>0</v>
      </c>
      <c r="H50" s="237"/>
      <c r="I50" s="237"/>
      <c r="J50" s="237"/>
    </row>
    <row r="51" spans="2:10" ht="14.15" customHeight="1" x14ac:dyDescent="0.35">
      <c r="B51" s="93" t="s">
        <v>600</v>
      </c>
      <c r="C51" s="89"/>
      <c r="D51" s="43">
        <f>SUM(D37:D50)</f>
        <v>-3619</v>
      </c>
      <c r="F51" s="43">
        <f>SUM(F37:F50)</f>
        <v>-3286</v>
      </c>
    </row>
    <row r="52" spans="2:10" ht="14.15" customHeight="1" x14ac:dyDescent="0.35">
      <c r="B52" s="93" t="s">
        <v>601</v>
      </c>
      <c r="C52" s="89"/>
      <c r="D52" s="43">
        <f>D19+D35+D51</f>
        <v>-1918</v>
      </c>
      <c r="F52" s="43">
        <f>F19+F35+F51</f>
        <v>-2725</v>
      </c>
    </row>
    <row r="53" spans="2:10" ht="14.15" customHeight="1" x14ac:dyDescent="0.35">
      <c r="B53" s="93" t="s">
        <v>602</v>
      </c>
      <c r="C53" s="89"/>
      <c r="D53" s="50">
        <f>F59</f>
        <v>61030.000999999997</v>
      </c>
      <c r="F53" s="50">
        <v>63755.000999999997</v>
      </c>
    </row>
    <row r="54" spans="2:10" s="220" customFormat="1" ht="14.15" hidden="1" customHeight="1" x14ac:dyDescent="0.35">
      <c r="B54" s="239" t="s">
        <v>500</v>
      </c>
      <c r="C54" s="89"/>
      <c r="D54" s="218"/>
      <c r="E54" s="218"/>
      <c r="F54" s="218">
        <v>0</v>
      </c>
      <c r="G54" s="218"/>
      <c r="H54" s="237"/>
      <c r="I54" s="237"/>
      <c r="J54" s="237"/>
    </row>
    <row r="55" spans="2:10" s="220" customFormat="1" ht="14.15" hidden="1" customHeight="1" x14ac:dyDescent="0.35">
      <c r="B55" s="221" t="s">
        <v>603</v>
      </c>
      <c r="C55" s="89"/>
      <c r="D55" s="241">
        <f>SUM(D53:D54)</f>
        <v>61030.000999999997</v>
      </c>
      <c r="E55" s="242"/>
      <c r="F55" s="241">
        <f>SUM(F53:F54)</f>
        <v>63755.000999999997</v>
      </c>
      <c r="G55" s="218"/>
      <c r="H55" s="237"/>
      <c r="I55" s="237"/>
      <c r="J55" s="237"/>
    </row>
    <row r="56" spans="2:10" s="220" customFormat="1" ht="14.15" hidden="1" customHeight="1" x14ac:dyDescent="0.35">
      <c r="B56" s="221" t="s">
        <v>604</v>
      </c>
      <c r="C56" s="91"/>
      <c r="D56" s="227">
        <v>0</v>
      </c>
      <c r="E56" s="218"/>
      <c r="F56" s="227">
        <v>0</v>
      </c>
      <c r="G56" s="218"/>
      <c r="H56" s="220" t="s">
        <v>544</v>
      </c>
      <c r="I56" s="237"/>
      <c r="J56" s="237"/>
    </row>
    <row r="57" spans="2:10" s="220" customFormat="1" ht="13.75" hidden="1" customHeight="1" x14ac:dyDescent="0.35">
      <c r="B57" s="216" t="s">
        <v>605</v>
      </c>
      <c r="C57" s="91">
        <f>'32-35 RP,CRL&amp;BE'!A61</f>
        <v>33</v>
      </c>
      <c r="D57" s="218">
        <v>0</v>
      </c>
      <c r="E57" s="218"/>
      <c r="F57" s="218">
        <v>0</v>
      </c>
      <c r="G57" s="218"/>
      <c r="H57" s="237"/>
      <c r="I57" s="237"/>
      <c r="J57" s="237"/>
    </row>
    <row r="58" spans="2:10" s="220" customFormat="1" ht="13.75" hidden="1" customHeight="1" x14ac:dyDescent="0.35">
      <c r="B58" s="216" t="s">
        <v>606</v>
      </c>
      <c r="C58" s="91"/>
      <c r="D58" s="218">
        <v>0</v>
      </c>
      <c r="E58" s="218"/>
      <c r="F58" s="218">
        <v>0</v>
      </c>
      <c r="G58" s="218"/>
      <c r="H58" s="237"/>
      <c r="I58" s="237"/>
      <c r="J58" s="237"/>
    </row>
    <row r="59" spans="2:10" ht="14.15" customHeight="1" thickBot="1" x14ac:dyDescent="0.4">
      <c r="B59" s="93" t="s">
        <v>607</v>
      </c>
      <c r="C59" s="378">
        <f>CCE!A1</f>
        <v>22.1</v>
      </c>
      <c r="D59" s="42">
        <f>SUM(D52,D55:D58)</f>
        <v>59112.000999999997</v>
      </c>
      <c r="F59" s="42">
        <f>SUM(F52,F55:F58)</f>
        <v>61030.000999999997</v>
      </c>
    </row>
    <row r="60" spans="2:10" ht="14.15" customHeight="1" thickTop="1" x14ac:dyDescent="0.35"/>
  </sheetData>
  <autoFilter ref="A1:O1" xr:uid="{00000000-0001-0000-0900-000000000000}"/>
  <customSheetViews>
    <customSheetView guid="{EDC1BD6E-863A-4FC6-A3A9-F32079F4F0C1}">
      <selection activeCell="J34" sqref="J34"/>
      <pageMargins left="0" right="0" top="0" bottom="0" header="0" footer="0"/>
      <pageSetup paperSize="9" orientation="portrait" verticalDpi="0" r:id="rId1"/>
      <headerFooter>
        <oddHeader>&amp;LINSERT YOUR NHS Foundation Trust&amp;RStatement of accounts 2014/15</oddHeader>
      </headerFooter>
    </customSheetView>
  </customSheetViews>
  <pageMargins left="0.59055118110236227" right="0.59055118110236227" top="0.59055118110236227" bottom="0.59055118110236227" header="0" footer="0"/>
  <pageSetup paperSize="9" orientation="portrait" r:id="rId2"/>
  <headerFoot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92D050"/>
    <pageSetUpPr autoPageBreaks="0"/>
  </sheetPr>
  <dimension ref="A1:D41"/>
  <sheetViews>
    <sheetView workbookViewId="0"/>
  </sheetViews>
  <sheetFormatPr defaultColWidth="9.1796875" defaultRowHeight="11.5" x14ac:dyDescent="0.25"/>
  <cols>
    <col min="1" max="1" width="1.453125" style="247" customWidth="1"/>
    <col min="2" max="2" width="85.453125" style="1" customWidth="1"/>
    <col min="3" max="3" width="12.1796875" style="1" customWidth="1"/>
    <col min="4" max="4" width="73.453125" style="1" customWidth="1"/>
    <col min="5" max="16384" width="9.1796875" style="1"/>
  </cols>
  <sheetData>
    <row r="1" spans="1:4" x14ac:dyDescent="0.25">
      <c r="B1" s="13" t="s">
        <v>608</v>
      </c>
    </row>
    <row r="3" spans="1:4" x14ac:dyDescent="0.25">
      <c r="A3" s="248">
        <v>1</v>
      </c>
      <c r="B3" s="13" t="s">
        <v>609</v>
      </c>
    </row>
    <row r="4" spans="1:4" x14ac:dyDescent="0.25">
      <c r="A4" s="248"/>
      <c r="B4" s="13"/>
    </row>
    <row r="5" spans="1:4" x14ac:dyDescent="0.25">
      <c r="A5" s="247">
        <v>1</v>
      </c>
      <c r="B5" s="13" t="s">
        <v>610</v>
      </c>
    </row>
    <row r="6" spans="1:4" s="245" customFormat="1" hidden="1" x14ac:dyDescent="0.25">
      <c r="A6" s="247"/>
      <c r="B6" s="244" t="s">
        <v>611</v>
      </c>
    </row>
    <row r="7" spans="1:4" s="245" customFormat="1" ht="110.15" hidden="1" customHeight="1" x14ac:dyDescent="0.25">
      <c r="A7" s="247"/>
      <c r="B7" s="246" t="s">
        <v>1585</v>
      </c>
    </row>
    <row r="8" spans="1:4" s="245" customFormat="1" hidden="1" x14ac:dyDescent="0.25">
      <c r="A8" s="247"/>
      <c r="B8" s="244" t="s">
        <v>612</v>
      </c>
    </row>
    <row r="9" spans="1:4" ht="126.75" customHeight="1" x14ac:dyDescent="0.25">
      <c r="A9" s="249"/>
      <c r="B9" s="135" t="s">
        <v>1563</v>
      </c>
    </row>
    <row r="10" spans="1:4" x14ac:dyDescent="0.25">
      <c r="B10" s="111"/>
    </row>
    <row r="11" spans="1:4" x14ac:dyDescent="0.25">
      <c r="A11" s="247">
        <f>A5+0.1</f>
        <v>1.1000000000000001</v>
      </c>
      <c r="B11" s="13" t="s">
        <v>613</v>
      </c>
    </row>
    <row r="12" spans="1:4" ht="34.5" x14ac:dyDescent="0.25">
      <c r="B12" s="1" t="s">
        <v>614</v>
      </c>
    </row>
    <row r="13" spans="1:4" x14ac:dyDescent="0.25">
      <c r="B13" s="111"/>
      <c r="D13" s="111"/>
    </row>
    <row r="14" spans="1:4" x14ac:dyDescent="0.25">
      <c r="A14" s="247">
        <f>ROUNDDOWN(A11,0)+1</f>
        <v>2</v>
      </c>
      <c r="B14" s="28" t="str">
        <f>"Note 1." &amp; A14&amp; " Going concern"</f>
        <v>Note 1.2 Going concern</v>
      </c>
      <c r="D14" s="111"/>
    </row>
    <row r="15" spans="1:4" ht="57.5" x14ac:dyDescent="0.25">
      <c r="B15" s="45" t="s">
        <v>1628</v>
      </c>
      <c r="D15" s="111"/>
    </row>
    <row r="16" spans="1:4" s="245" customFormat="1" ht="53.15" hidden="1" customHeight="1" x14ac:dyDescent="0.25">
      <c r="A16" s="243"/>
      <c r="B16" s="251" t="s">
        <v>615</v>
      </c>
      <c r="D16" s="252"/>
    </row>
    <row r="17" spans="1:4" s="245" customFormat="1" hidden="1" x14ac:dyDescent="0.25">
      <c r="A17" s="243"/>
      <c r="B17" s="252"/>
    </row>
    <row r="18" spans="1:4" s="245" customFormat="1" hidden="1" x14ac:dyDescent="0.25">
      <c r="A18" s="243">
        <f>A14+1</f>
        <v>3</v>
      </c>
      <c r="B18" s="253" t="str">
        <f>"Note 1." &amp; A18&amp; " Interests in other entities"</f>
        <v>Note 1.3 Interests in other entities</v>
      </c>
      <c r="D18" s="251"/>
    </row>
    <row r="19" spans="1:4" s="245" customFormat="1" ht="60" hidden="1" x14ac:dyDescent="0.3">
      <c r="A19" s="243"/>
      <c r="B19" s="254" t="s">
        <v>1584</v>
      </c>
      <c r="D19" s="251"/>
    </row>
    <row r="20" spans="1:4" s="245" customFormat="1" ht="113.25" hidden="1" customHeight="1" x14ac:dyDescent="0.25">
      <c r="A20" s="243"/>
      <c r="B20" s="250" t="s">
        <v>616</v>
      </c>
      <c r="D20" s="251"/>
    </row>
    <row r="21" spans="1:4" s="245" customFormat="1" ht="40.75" hidden="1" customHeight="1" x14ac:dyDescent="0.25">
      <c r="A21" s="243"/>
      <c r="B21" s="250" t="s">
        <v>617</v>
      </c>
      <c r="D21" s="251"/>
    </row>
    <row r="22" spans="1:4" s="245" customFormat="1" ht="52.5" hidden="1" customHeight="1" x14ac:dyDescent="0.25">
      <c r="A22" s="243"/>
      <c r="B22" s="250" t="s">
        <v>618</v>
      </c>
      <c r="D22" s="251"/>
    </row>
    <row r="23" spans="1:4" x14ac:dyDescent="0.25">
      <c r="A23" s="247">
        <v>3</v>
      </c>
      <c r="B23" s="13" t="s">
        <v>1629</v>
      </c>
      <c r="D23" s="45"/>
    </row>
    <row r="24" spans="1:4" ht="34.5" x14ac:dyDescent="0.25">
      <c r="B24" s="1" t="s">
        <v>619</v>
      </c>
    </row>
    <row r="26" spans="1:4" ht="92" x14ac:dyDescent="0.25">
      <c r="B26" s="1" t="s">
        <v>620</v>
      </c>
    </row>
    <row r="28" spans="1:4" s="245" customFormat="1" ht="23" hidden="1" x14ac:dyDescent="0.25">
      <c r="A28" s="243"/>
      <c r="B28" s="251" t="s">
        <v>621</v>
      </c>
    </row>
    <row r="29" spans="1:4" s="245" customFormat="1" hidden="1" x14ac:dyDescent="0.25">
      <c r="A29" s="243"/>
      <c r="B29" s="255"/>
    </row>
    <row r="30" spans="1:4" x14ac:dyDescent="0.25">
      <c r="B30" s="13" t="s">
        <v>622</v>
      </c>
    </row>
    <row r="31" spans="1:4" s="245" customFormat="1" ht="46" hidden="1" x14ac:dyDescent="0.25">
      <c r="A31" s="243"/>
      <c r="B31" s="245" t="s">
        <v>1564</v>
      </c>
    </row>
    <row r="32" spans="1:4" ht="46" x14ac:dyDescent="0.25">
      <c r="B32" s="1" t="s">
        <v>1630</v>
      </c>
    </row>
    <row r="33" spans="1:2" s="245" customFormat="1" ht="34.5" hidden="1" x14ac:dyDescent="0.25">
      <c r="A33" s="243"/>
      <c r="B33" s="245" t="s">
        <v>1454</v>
      </c>
    </row>
    <row r="34" spans="1:2" s="245" customFormat="1" ht="34.5" hidden="1" x14ac:dyDescent="0.25">
      <c r="A34" s="243"/>
      <c r="B34" s="251" t="s">
        <v>1455</v>
      </c>
    </row>
    <row r="35" spans="1:2" s="245" customFormat="1" ht="92" hidden="1" x14ac:dyDescent="0.25">
      <c r="A35" s="243"/>
      <c r="B35" s="245" t="s">
        <v>1566</v>
      </c>
    </row>
    <row r="36" spans="1:2" s="245" customFormat="1" ht="34.5" hidden="1" x14ac:dyDescent="0.25">
      <c r="A36" s="243"/>
      <c r="B36" s="245" t="s">
        <v>1456</v>
      </c>
    </row>
    <row r="37" spans="1:2" s="245" customFormat="1" ht="57.5" hidden="1" x14ac:dyDescent="0.25">
      <c r="A37" s="243"/>
      <c r="B37" s="245" t="s">
        <v>1567</v>
      </c>
    </row>
    <row r="38" spans="1:2" s="245" customFormat="1" ht="69" hidden="1" x14ac:dyDescent="0.25">
      <c r="A38" s="243"/>
      <c r="B38" s="251" t="s">
        <v>1583</v>
      </c>
    </row>
    <row r="40" spans="1:2" x14ac:dyDescent="0.25">
      <c r="B40" s="14" t="s">
        <v>625</v>
      </c>
    </row>
    <row r="41" spans="1:2" ht="92" x14ac:dyDescent="0.25">
      <c r="B41" s="1" t="s">
        <v>626</v>
      </c>
    </row>
  </sheetData>
  <customSheetViews>
    <customSheetView guid="{EDC1BD6E-863A-4FC6-A3A9-F32079F4F0C1}" fitToPage="1">
      <selection activeCell="E101" sqref="E101"/>
      <pageMargins left="0" right="0" top="0" bottom="0" header="0" footer="0"/>
      <pageSetup paperSize="9" fitToHeight="0" orientation="portrait" verticalDpi="0" r:id="rId1"/>
      <headerFooter>
        <oddHeader>&amp;LINSERT YOUR NHS Foundation Trust&amp;RStatement of accounts 2014/15</oddHeader>
      </headerFooter>
    </customSheetView>
  </customSheetViews>
  <pageMargins left="0.59055118110236227" right="0.59055118110236227" top="0.59055118110236227" bottom="0.59055118110236227" header="0" footer="0"/>
  <pageSetup paperSize="9" fitToHeight="0" orientation="portrait" r:id="rId2"/>
  <headerFoot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B35D68F2A858429EC464B589C5EB51" ma:contentTypeVersion="10" ma:contentTypeDescription="Create a new document." ma:contentTypeScope="" ma:versionID="3f87948e4b09c88748e30fd44b9e0527">
  <xsd:schema xmlns:xsd="http://www.w3.org/2001/XMLSchema" xmlns:xs="http://www.w3.org/2001/XMLSchema" xmlns:p="http://schemas.microsoft.com/office/2006/metadata/properties" xmlns:ns2="d047b02f-a22b-43a4-ac51-d72576d57cac" xmlns:ns3="4dbf9d97-9ae5-4bdc-8515-08582ea58e44" targetNamespace="http://schemas.microsoft.com/office/2006/metadata/properties" ma:root="true" ma:fieldsID="90e40bbf281fd7167e642bbd111657a5" ns2:_="" ns3:_="">
    <xsd:import namespace="d047b02f-a22b-43a4-ac51-d72576d57cac"/>
    <xsd:import namespace="4dbf9d97-9ae5-4bdc-8515-08582ea58e4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7b02f-a22b-43a4-ac51-d72576d57c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d561f9e-d532-4f12-aa19-88b8b21109b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bf9d97-9ae5-4bdc-8515-08582ea58e4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d8b0023-a3d8-49e4-be42-ffceeb49ef20}" ma:internalName="TaxCatchAll" ma:showField="CatchAllData" ma:web="4dbf9d97-9ae5-4bdc-8515-08582ea58e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dbf9d97-9ae5-4bdc-8515-08582ea58e44" xsi:nil="true"/>
    <lcf76f155ced4ddcb4097134ff3c332f xmlns="d047b02f-a22b-43a4-ac51-d72576d57c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E6821D-6786-4233-8E54-3A8E33D91E7A}"/>
</file>

<file path=customXml/itemProps2.xml><?xml version="1.0" encoding="utf-8"?>
<ds:datastoreItem xmlns:ds="http://schemas.openxmlformats.org/officeDocument/2006/customXml" ds:itemID="{B514CC54-9C39-460A-84FB-D6D14EBF4084}">
  <ds:schemaRefs>
    <ds:schemaRef ds:uri="http://schemas.microsoft.com/sharepoint/v3/contenttype/forms"/>
  </ds:schemaRefs>
</ds:datastoreItem>
</file>

<file path=customXml/itemProps3.xml><?xml version="1.0" encoding="utf-8"?>
<ds:datastoreItem xmlns:ds="http://schemas.openxmlformats.org/officeDocument/2006/customXml" ds:itemID="{5910D935-E07E-43C4-8B0E-6B67B5B53570}">
  <ds:schemaRefs>
    <ds:schemaRef ds:uri="http://www.w3.org/XML/1998/namespace"/>
    <ds:schemaRef ds:uri="http://schemas.microsoft.com/office/infopath/2007/PartnerControls"/>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e6bfd022-152f-450c-9654-ae315a7573b9"/>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40</vt:i4>
      </vt:variant>
    </vt:vector>
  </HeadingPairs>
  <TitlesOfParts>
    <vt:vector size="102" baseType="lpstr">
      <vt:lpstr>Guidance</vt:lpstr>
      <vt:lpstr>Settings</vt:lpstr>
      <vt:lpstr>Change log</vt:lpstr>
      <vt:lpstr>Title</vt:lpstr>
      <vt:lpstr>SOCI</vt:lpstr>
      <vt:lpstr>SoFP</vt:lpstr>
      <vt:lpstr>SoCIE</vt:lpstr>
      <vt:lpstr>CF</vt:lpstr>
      <vt:lpstr>Acc'g policies 1</vt:lpstr>
      <vt:lpstr>Acc'g policies 2</vt:lpstr>
      <vt:lpstr>Acc'g policies 3</vt:lpstr>
      <vt:lpstr>Acc P3+1</vt:lpstr>
      <vt:lpstr>Acc'g policies 4</vt:lpstr>
      <vt:lpstr>Acc'g policies 5</vt:lpstr>
      <vt:lpstr>Acc'g policies 6</vt:lpstr>
      <vt:lpstr>Acc'g policies 7</vt:lpstr>
      <vt:lpstr>Acc Pol 8</vt:lpstr>
      <vt:lpstr>Acc'g policies 9</vt:lpstr>
      <vt:lpstr>3-4 Op Inc</vt:lpstr>
      <vt:lpstr>5-6 Op Exp</vt:lpstr>
      <vt:lpstr>7-8 Impair&amp;Pay</vt:lpstr>
      <vt:lpstr>9-12 Pens&amp; FinIE</vt:lpstr>
      <vt:lpstr>13 Ints</vt:lpstr>
      <vt:lpstr>14 PPE1</vt:lpstr>
      <vt:lpstr>14 PPE 2</vt:lpstr>
      <vt:lpstr>15 RoU assets</vt:lpstr>
      <vt:lpstr>15-16 Leeses&amp;IP</vt:lpstr>
      <vt:lpstr>17-20 Ints&amp;InvCr</vt:lpstr>
      <vt:lpstr>21-23 AHFS&amp;Cr</vt:lpstr>
      <vt:lpstr>24-25 Crs&amp;FAL</vt:lpstr>
      <vt:lpstr>26-30 Provisions</vt:lpstr>
      <vt:lpstr>30 FI</vt:lpstr>
      <vt:lpstr>31-32 L&amp;SP, gifts</vt:lpstr>
      <vt:lpstr>32-35 RP,CRL&amp;BE</vt:lpstr>
      <vt:lpstr>36 CRL and breakeven duty</vt:lpstr>
      <vt:lpstr>Staff report tables</vt:lpstr>
      <vt:lpstr>Foreword (FTs only)</vt:lpstr>
      <vt:lpstr>SoCIE reserves</vt:lpstr>
      <vt:lpstr>Pension</vt:lpstr>
      <vt:lpstr>breakeven duty 2</vt:lpstr>
      <vt:lpstr>Inv Prop</vt:lpstr>
      <vt:lpstr>FI3</vt:lpstr>
      <vt:lpstr>OL &amp; Borrowings</vt:lpstr>
      <vt:lpstr>C&amp;O</vt:lpstr>
      <vt:lpstr>FI1</vt:lpstr>
      <vt:lpstr>Borrowings</vt:lpstr>
      <vt:lpstr>Pension 2</vt:lpstr>
      <vt:lpstr>Finance leases</vt:lpstr>
      <vt:lpstr>CCE</vt:lpstr>
      <vt:lpstr>PFI LIFT Other</vt:lpstr>
      <vt:lpstr>Inv in assoc &amp; JVs, other inv</vt:lpstr>
      <vt:lpstr>Receivables 2</vt:lpstr>
      <vt:lpstr>Receivables</vt:lpstr>
      <vt:lpstr>Acc'g policies 8</vt:lpstr>
      <vt:lpstr>PPE 3, Lessee</vt:lpstr>
      <vt:lpstr>Operating Segments</vt:lpstr>
      <vt:lpstr>Op leases</vt:lpstr>
      <vt:lpstr>Op Inc 2</vt:lpstr>
      <vt:lpstr>Op Exp</vt:lpstr>
      <vt:lpstr>Staff</vt:lpstr>
      <vt:lpstr>Finance &amp; other</vt:lpstr>
      <vt:lpstr>Discontinued</vt:lpstr>
      <vt:lpstr>ApprovalDate</vt:lpstr>
      <vt:lpstr>ComparativeFY</vt:lpstr>
      <vt:lpstr>comparativestartyear</vt:lpstr>
      <vt:lpstr>ComparativeYear</vt:lpstr>
      <vt:lpstr>ComparativeYearEnd</vt:lpstr>
      <vt:lpstr>ComparativeYearStart</vt:lpstr>
      <vt:lpstr>CurrentFY</vt:lpstr>
      <vt:lpstr>CurrentYear</vt:lpstr>
      <vt:lpstr>CurrentYearEnd</vt:lpstr>
      <vt:lpstr>CurrentYearStart</vt:lpstr>
      <vt:lpstr>NextFY</vt:lpstr>
      <vt:lpstr>'13 Ints'!Print_Area</vt:lpstr>
      <vt:lpstr>'14 PPE 2'!Print_Area</vt:lpstr>
      <vt:lpstr>'14 PPE1'!Print_Area</vt:lpstr>
      <vt:lpstr>'15 RoU assets'!Print_Area</vt:lpstr>
      <vt:lpstr>'15-16 Leeses&amp;IP'!Print_Area</vt:lpstr>
      <vt:lpstr>'17-20 Ints&amp;InvCr'!Print_Area</vt:lpstr>
      <vt:lpstr>'21-23 AHFS&amp;Cr'!Print_Area</vt:lpstr>
      <vt:lpstr>'24-25 Crs&amp;FAL'!Print_Area</vt:lpstr>
      <vt:lpstr>'26-30 Provisions'!Print_Area</vt:lpstr>
      <vt:lpstr>'30 FI'!Print_Area</vt:lpstr>
      <vt:lpstr>'31-32 L&amp;SP, gifts'!Print_Area</vt:lpstr>
      <vt:lpstr>'32-35 RP,CRL&amp;BE'!Print_Area</vt:lpstr>
      <vt:lpstr>'3-4 Op Inc'!Print_Area</vt:lpstr>
      <vt:lpstr>'36 CRL and breakeven duty'!Print_Area</vt:lpstr>
      <vt:lpstr>'9-12 Pens&amp; FinIE'!Print_Area</vt:lpstr>
      <vt:lpstr>'Acc P3+1'!Print_Area</vt:lpstr>
      <vt:lpstr>'Acc Pol 8'!Print_Area</vt:lpstr>
      <vt:lpstr>'Acc''g policies 1'!Print_Area</vt:lpstr>
      <vt:lpstr>'Acc''g policies 2'!Print_Area</vt:lpstr>
      <vt:lpstr>'Acc''g policies 3'!Print_Area</vt:lpstr>
      <vt:lpstr>'Acc''g policies 6'!Print_Area</vt:lpstr>
      <vt:lpstr>'Acc''g policies 8'!Print_Area</vt:lpstr>
      <vt:lpstr>'Acc''g policies 9'!Print_Area</vt:lpstr>
      <vt:lpstr>Guidance!Print_Area</vt:lpstr>
      <vt:lpstr>SOCI!Print_Area</vt:lpstr>
      <vt:lpstr>SoCIE!Print_Area</vt:lpstr>
      <vt:lpstr>Title!Print_Area</vt:lpstr>
      <vt:lpstr>SelectedFT</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Eleanor Shirtliff</dc:creator>
  <cp:keywords/>
  <dc:description/>
  <cp:lastModifiedBy>Penny Harder</cp:lastModifiedBy>
  <cp:revision/>
  <cp:lastPrinted>2025-06-10T13:10:28Z</cp:lastPrinted>
  <dcterms:created xsi:type="dcterms:W3CDTF">2014-10-27T11:17:27Z</dcterms:created>
  <dcterms:modified xsi:type="dcterms:W3CDTF">2025-06-18T14:06:33Z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0x010100A6B35D68F2A858429EC464B589C5EB51</vt:lpwstr>
  </property>
  <property fmtid="{D5CDD505-2E9C-101B-9397-08002B2CF9AE}" pid="3" name="_ShortcutWebId">
    <vt:lpwstr/>
  </property>
  <property fmtid="{D5CDD505-2E9C-101B-9397-08002B2CF9AE}" pid="4" name="_ShortcutUniqueId">
    <vt:lpwstr/>
  </property>
  <property fmtid="{D5CDD505-2E9C-101B-9397-08002B2CF9AE}" pid="5" name="_ShortcutSiteId">
    <vt:lpwstr/>
  </property>
  <property fmtid="{D5CDD505-2E9C-101B-9397-08002B2CF9AE}" pid="6" name="_ShortcutUrl">
    <vt:lpwstr/>
  </property>
  <property fmtid="{D5CDD505-2E9C-101B-9397-08002B2CF9AE}" pid="7" name="_ExtendedDescription">
    <vt:lpwstr/>
  </property>
  <property fmtid="{D5CDD505-2E9C-101B-9397-08002B2CF9AE}" pid="8" name="MediaServiceImageTags">
    <vt:lpwstr/>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TriggerFlowInfo">
    <vt:lpwstr/>
  </property>
  <property fmtid="{D5CDD505-2E9C-101B-9397-08002B2CF9AE}" pid="13" name="xd_Signature">
    <vt:bool>false</vt:bool>
  </property>
  <property fmtid="{D5CDD505-2E9C-101B-9397-08002B2CF9AE}" pid="14" name="SV_QUERY_LIST_4F35BF76-6C0D-4D9B-82B2-816C12CF3733">
    <vt:lpwstr>empty_477D106A-C0D6-4607-AEBD-E2C9D60EA279</vt:lpwstr>
  </property>
  <property fmtid="{D5CDD505-2E9C-101B-9397-08002B2CF9AE}" pid="15" name="SV_HIDDEN_GRID_QUERY_LIST_4F35BF76-6C0D-4D9B-82B2-816C12CF3733">
    <vt:lpwstr>empty_477D106A-C0D6-4607-AEBD-E2C9D60EA279</vt:lpwstr>
  </property>
  <property fmtid="{D5CDD505-2E9C-101B-9397-08002B2CF9AE}" pid="16" name="Order">
    <vt:r8>100</vt:r8>
  </property>
</Properties>
</file>